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defaultThemeVersion="124226"/>
  <mc:AlternateContent xmlns:mc="http://schemas.openxmlformats.org/markup-compatibility/2006">
    <mc:Choice Requires="x15">
      <x15ac:absPath xmlns:x15ac="http://schemas.microsoft.com/office/spreadsheetml/2010/11/ac" url="https://verint-my.sharepoint.com/personal/matthew_frankel_verint_com/Documents/Desktop/IR/Financial Dashboard/4Q FY21/"/>
    </mc:Choice>
  </mc:AlternateContent>
  <xr:revisionPtr revIDLastSave="23" documentId="8_{AE3AEC09-F7A2-4C2F-8992-362E2FA806FF}" xr6:coauthVersionLast="45" xr6:coauthVersionMax="45" xr10:uidLastSave="{19D7618E-A42B-491B-B62D-9CB1E2D3886E}"/>
  <bookViews>
    <workbookView xWindow="-120" yWindow="-120" windowWidth="29040" windowHeight="15840" tabRatio="932" xr2:uid="{00000000-000D-0000-FFFF-FFFF00000000}"/>
  </bookViews>
  <sheets>
    <sheet name="Table of Contents" sheetId="75" r:id="rId1"/>
    <sheet name="Consolidated Summary Metrics" sheetId="63" r:id="rId2"/>
    <sheet name="Consolidated Revenue" sheetId="10" r:id="rId3"/>
    <sheet name="Consolidated Gross Profit" sheetId="53" r:id="rId4"/>
    <sheet name="Consolidated Constant Currency" sheetId="74" r:id="rId5"/>
    <sheet name="Cons Op &amp; EBITDA Margins" sheetId="52" r:id="rId6"/>
    <sheet name="Consolidated Operating Expenses" sheetId="40" r:id="rId7"/>
    <sheet name="Cons Other Expense, Tax &amp; NI" sheetId="4" r:id="rId8"/>
    <sheet name="Consolidated EPS &amp; DSO" sheetId="64" r:id="rId9"/>
    <sheet name="Consolidated Debt" sheetId="44" r:id="rId10"/>
    <sheet name="Consol Addl Info Apax Invest" sheetId="78" r:id="rId11"/>
    <sheet name="Consolidated Footnotes" sheetId="66" r:id="rId12"/>
    <sheet name="Suppl. Info Non-GAAP Measures" sheetId="67" r:id="rId13"/>
    <sheet name="CES Table of Contents" sheetId="76" r:id="rId14"/>
    <sheet name="CES Summary Metrics" sheetId="61" r:id="rId15"/>
    <sheet name="CES Revenue Metrics" sheetId="43" r:id="rId16"/>
    <sheet name="CES Constant Currency" sheetId="72" r:id="rId17"/>
    <sheet name="CES Cloud Metrics" sheetId="27" r:id="rId18"/>
    <sheet name="CES Gross Profit" sheetId="49" r:id="rId19"/>
    <sheet name="CES Operating Expenses" sheetId="39" r:id="rId20"/>
    <sheet name="CES Operating &amp; EBITDA Margins" sheetId="48" r:id="rId21"/>
    <sheet name="CES Footnotes" sheetId="68" r:id="rId22"/>
    <sheet name="CES Suppl. Info NG Measures" sheetId="69" r:id="rId23"/>
    <sheet name="CIS Table of Contents" sheetId="77" r:id="rId24"/>
    <sheet name="CIS Summary Metrics" sheetId="62" r:id="rId25"/>
    <sheet name="CIS Revenue Metrics" sheetId="65" r:id="rId26"/>
    <sheet name="CIS Constant Currency" sheetId="73" r:id="rId27"/>
    <sheet name="CIS Gross Profit" sheetId="50" r:id="rId28"/>
    <sheet name="CIS Operating Expenses" sheetId="38" r:id="rId29"/>
    <sheet name="CIS Operating &amp; EBITDA Margins" sheetId="51" r:id="rId30"/>
    <sheet name="CIS Footnotes" sheetId="70" r:id="rId31"/>
    <sheet name="CIS Suppl. Info NG Measures" sheetId="71" r:id="rId32"/>
  </sheets>
  <definedNames>
    <definedName name="CIQWBGuid" hidden="1">"VRNT Investor Relations Financial Appendices Workbook 10.31.19.xlsx"</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43657.6728356481</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17">'CES Cloud Metrics'!$A$1:$X$22</definedName>
    <definedName name="_xlnm.Print_Area" localSheetId="16">'CES Constant Currency'!$A$1:$X$21</definedName>
    <definedName name="_xlnm.Print_Area" localSheetId="21">'CES Footnotes'!$A$1:$B$21</definedName>
    <definedName name="_xlnm.Print_Area" localSheetId="18">'CES Gross Profit'!$A$1:$X$26</definedName>
    <definedName name="_xlnm.Print_Area" localSheetId="20">'CES Operating &amp; EBITDA Margins'!$A$1:$X$24</definedName>
    <definedName name="_xlnm.Print_Area" localSheetId="19">'CES Operating Expenses'!$A$1:$X$39</definedName>
    <definedName name="_xlnm.Print_Area" localSheetId="15">'CES Revenue Metrics'!$A$1:$X$32</definedName>
    <definedName name="_xlnm.Print_Area" localSheetId="14">'CES Summary Metrics'!$A$1:$AT$51</definedName>
    <definedName name="_xlnm.Print_Area" localSheetId="22">'CES Suppl. Info NG Measures'!$B$1:$B$45</definedName>
    <definedName name="_xlnm.Print_Area" localSheetId="26">'CIS Constant Currency'!$A$1:$X$21</definedName>
    <definedName name="_xlnm.Print_Area" localSheetId="30">'CIS Footnotes'!$A$1:$B$17</definedName>
    <definedName name="_xlnm.Print_Area" localSheetId="27">'CIS Gross Profit'!$A$1:$X$26</definedName>
    <definedName name="_xlnm.Print_Area" localSheetId="29">'CIS Operating &amp; EBITDA Margins'!$A$1:$X$25</definedName>
    <definedName name="_xlnm.Print_Area" localSheetId="28">'CIS Operating Expenses'!$A$1:$X$38</definedName>
    <definedName name="_xlnm.Print_Area" localSheetId="25">'CIS Revenue Metrics'!$A$1:$X$18</definedName>
    <definedName name="_xlnm.Print_Area" localSheetId="24">'CIS Summary Metrics'!$A$1:$AT$26</definedName>
    <definedName name="_xlnm.Print_Area" localSheetId="31">'CIS Suppl. Info NG Measures'!$B$1:$B$40</definedName>
    <definedName name="_xlnm.Print_Area" localSheetId="5">'Cons Op &amp; EBITDA Margins'!$A$1:$X$24</definedName>
    <definedName name="_xlnm.Print_Area" localSheetId="7">'Cons Other Expense, Tax &amp; NI'!$A$1:$X$28</definedName>
    <definedName name="_xlnm.Print_Area" localSheetId="10">'Consol Addl Info Apax Invest'!$A$1:$X$10</definedName>
    <definedName name="_xlnm.Print_Area" localSheetId="4">'Consolidated Constant Currency'!$A$1:$X$21</definedName>
    <definedName name="_xlnm.Print_Area" localSheetId="9">'Consolidated Debt'!$A$1:$G$17</definedName>
    <definedName name="_xlnm.Print_Area" localSheetId="8">'Consolidated EPS &amp; DSO'!$A$1:$X$14</definedName>
    <definedName name="_xlnm.Print_Area" localSheetId="11">'Consolidated Footnotes'!$A$1:$B$17</definedName>
    <definedName name="_xlnm.Print_Area" localSheetId="3">'Consolidated Gross Profit'!$A$1:$X$26</definedName>
    <definedName name="_xlnm.Print_Area" localSheetId="6">'Consolidated Operating Expenses'!$A$1:$X$38</definedName>
    <definedName name="_xlnm.Print_Area" localSheetId="2">'Consolidated Revenue'!$A$1:$X$19</definedName>
    <definedName name="_xlnm.Print_Area" localSheetId="1">'Consolidated Summary Metrics'!$A$1:$AU$24</definedName>
    <definedName name="_xlnm.Print_Area" localSheetId="12">'Suppl. Info Non-GAAP Measures'!$B$1:$B$53</definedName>
    <definedName name="_xlnm.Print_Area" localSheetId="0">'Table of Contents'!$A$1:$E$36</definedName>
    <definedName name="_xlnm.Print_Titles" localSheetId="22">'CES Suppl. Info NG Measures'!$1:$1</definedName>
    <definedName name="_xlnm.Print_Titles" localSheetId="31">'CIS Suppl. Info NG Measures'!$1:$1</definedName>
    <definedName name="_xlnm.Print_Titles" localSheetId="12">'Suppl. Info Non-GAAP Measures'!$1:$1</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6" i="51" l="1"/>
  <c r="C9" i="51"/>
  <c r="E9" i="51"/>
  <c r="F9" i="51"/>
  <c r="G9" i="51"/>
  <c r="H9" i="51"/>
  <c r="J9" i="51"/>
  <c r="L9" i="51"/>
  <c r="M9" i="51"/>
  <c r="B10" i="51"/>
  <c r="C10" i="51"/>
  <c r="E10" i="51"/>
  <c r="F10" i="51"/>
  <c r="G10" i="51"/>
  <c r="H10" i="51"/>
  <c r="J10" i="51"/>
  <c r="L10" i="51"/>
  <c r="M10" i="51"/>
  <c r="S10" i="51"/>
  <c r="T10" i="51"/>
  <c r="U10" i="51"/>
  <c r="V10" i="51"/>
  <c r="X10" i="51"/>
  <c r="X11" i="51"/>
  <c r="X12" i="51"/>
  <c r="B13" i="51"/>
  <c r="C13" i="51"/>
  <c r="E13" i="51"/>
  <c r="F13" i="51"/>
  <c r="H13" i="51"/>
  <c r="J13" i="51"/>
  <c r="L13" i="51"/>
  <c r="M13" i="51"/>
  <c r="X13" i="51"/>
  <c r="B14" i="51"/>
  <c r="C14" i="51"/>
  <c r="E14" i="51"/>
  <c r="F14" i="51"/>
  <c r="G14" i="51"/>
  <c r="H14" i="51"/>
  <c r="J14" i="51"/>
  <c r="L14" i="51"/>
  <c r="M14" i="51"/>
  <c r="X14" i="51"/>
  <c r="B15" i="51"/>
  <c r="C15" i="51"/>
  <c r="E15" i="51"/>
  <c r="F15" i="51"/>
  <c r="G15" i="51"/>
  <c r="H15" i="51"/>
  <c r="J15" i="51"/>
  <c r="L15" i="51"/>
  <c r="M15" i="51"/>
  <c r="N15" i="51"/>
  <c r="O15" i="51"/>
  <c r="O18" i="51" s="1"/>
  <c r="O20" i="51" s="1"/>
  <c r="Q15" i="51"/>
  <c r="Q18" i="51" s="1"/>
  <c r="S15" i="51"/>
  <c r="X15" i="51" s="1"/>
  <c r="T15" i="51"/>
  <c r="U15" i="51"/>
  <c r="V15" i="51"/>
  <c r="B16" i="51"/>
  <c r="C16" i="51"/>
  <c r="X16" i="51"/>
  <c r="M17" i="51"/>
  <c r="O17" i="51"/>
  <c r="Q17" i="51"/>
  <c r="S17" i="51"/>
  <c r="T17" i="51"/>
  <c r="U17" i="51"/>
  <c r="V17" i="51"/>
  <c r="X17" i="51"/>
  <c r="H18" i="51"/>
  <c r="X19" i="51"/>
  <c r="Q20" i="51"/>
  <c r="X7" i="38"/>
  <c r="X8" i="38"/>
  <c r="X9" i="38"/>
  <c r="X10" i="38" s="1"/>
  <c r="B10" i="38"/>
  <c r="C10" i="38"/>
  <c r="G14" i="62" s="1"/>
  <c r="E10" i="38"/>
  <c r="F10" i="38"/>
  <c r="G10" i="38"/>
  <c r="H10" i="38"/>
  <c r="J10" i="38"/>
  <c r="L10" i="38"/>
  <c r="V14" i="62" s="1"/>
  <c r="M10" i="38"/>
  <c r="N10" i="38"/>
  <c r="O10" i="38"/>
  <c r="O18" i="38" s="1"/>
  <c r="AC14" i="62" s="1"/>
  <c r="Q10" i="38"/>
  <c r="Q18" i="38" s="1"/>
  <c r="S10" i="38"/>
  <c r="T10" i="38"/>
  <c r="U10" i="38"/>
  <c r="V10" i="38"/>
  <c r="B13" i="38"/>
  <c r="B18" i="38" s="1"/>
  <c r="C13" i="38"/>
  <c r="C18" i="38" s="1"/>
  <c r="H14" i="62" s="1"/>
  <c r="E13" i="38"/>
  <c r="E18" i="38" s="1"/>
  <c r="K14" i="62" s="1"/>
  <c r="F13" i="38"/>
  <c r="F18" i="38" s="1"/>
  <c r="G13" i="38"/>
  <c r="G12" i="51" s="1"/>
  <c r="H13" i="38"/>
  <c r="H12" i="51" s="1"/>
  <c r="J13" i="38"/>
  <c r="L13" i="38"/>
  <c r="L18" i="38" s="1"/>
  <c r="M13" i="38"/>
  <c r="S13" i="38"/>
  <c r="X13" i="38" s="1"/>
  <c r="T13" i="38"/>
  <c r="U13" i="38"/>
  <c r="V13" i="38"/>
  <c r="X14" i="38"/>
  <c r="X15" i="38"/>
  <c r="X16" i="38"/>
  <c r="X17" i="38"/>
  <c r="G18" i="38"/>
  <c r="H18" i="38"/>
  <c r="S18" i="38"/>
  <c r="AI14" i="62" s="1"/>
  <c r="T18" i="38"/>
  <c r="U18" i="38"/>
  <c r="AM14" i="62" s="1"/>
  <c r="X23" i="38"/>
  <c r="X24" i="38"/>
  <c r="X25" i="38"/>
  <c r="B26" i="38"/>
  <c r="D16" i="62" s="1"/>
  <c r="C26" i="38"/>
  <c r="G16" i="62" s="1"/>
  <c r="E26" i="38"/>
  <c r="F26" i="38"/>
  <c r="G26" i="38"/>
  <c r="H26" i="38"/>
  <c r="J26" i="38"/>
  <c r="L26" i="38"/>
  <c r="M26" i="38"/>
  <c r="X16" i="62" s="1"/>
  <c r="N26" i="38"/>
  <c r="Z16" i="62" s="1"/>
  <c r="O26" i="38"/>
  <c r="Q26" i="38"/>
  <c r="S26" i="38"/>
  <c r="T26" i="38"/>
  <c r="U26" i="38"/>
  <c r="V26" i="38"/>
  <c r="X26" i="38"/>
  <c r="AQ16" i="62" s="1"/>
  <c r="B29" i="38"/>
  <c r="C29" i="38"/>
  <c r="C35" i="38" s="1"/>
  <c r="E29" i="38"/>
  <c r="E35" i="38" s="1"/>
  <c r="K16" i="62" s="1"/>
  <c r="F29" i="38"/>
  <c r="G29" i="38"/>
  <c r="H29" i="38"/>
  <c r="J29" i="38"/>
  <c r="L29" i="38"/>
  <c r="L35" i="38" s="1"/>
  <c r="S29" i="38"/>
  <c r="T29" i="38"/>
  <c r="T35" i="38" s="1"/>
  <c r="AK16" i="62" s="1"/>
  <c r="U29" i="38"/>
  <c r="V29" i="38"/>
  <c r="X30" i="38"/>
  <c r="X31" i="38"/>
  <c r="X32" i="38"/>
  <c r="X33" i="38"/>
  <c r="B34" i="38"/>
  <c r="B17" i="51" s="1"/>
  <c r="C34" i="38"/>
  <c r="C17" i="51" s="1"/>
  <c r="E34" i="38"/>
  <c r="E17" i="51" s="1"/>
  <c r="F34" i="38"/>
  <c r="F17" i="51" s="1"/>
  <c r="G34" i="38"/>
  <c r="G17" i="51" s="1"/>
  <c r="H34" i="38"/>
  <c r="H17" i="51" s="1"/>
  <c r="J34" i="38"/>
  <c r="J35" i="38" s="1"/>
  <c r="L34" i="38"/>
  <c r="L17" i="51" s="1"/>
  <c r="M34" i="38"/>
  <c r="M35" i="38" s="1"/>
  <c r="Y16" i="62" s="1"/>
  <c r="N34" i="38"/>
  <c r="N35" i="38" s="1"/>
  <c r="AA16" i="62" s="1"/>
  <c r="X34" i="38"/>
  <c r="F35" i="38"/>
  <c r="M16" i="62" s="1"/>
  <c r="G35" i="38"/>
  <c r="O16" i="62" s="1"/>
  <c r="H35" i="38"/>
  <c r="Q35" i="38"/>
  <c r="S35" i="38"/>
  <c r="AI16" i="62" s="1"/>
  <c r="U35" i="38"/>
  <c r="V35" i="38"/>
  <c r="U6" i="50"/>
  <c r="U15" i="50" s="1"/>
  <c r="AL19" i="62" s="1"/>
  <c r="AL12" i="62" s="1"/>
  <c r="X8" i="50"/>
  <c r="X9" i="50"/>
  <c r="X10" i="50"/>
  <c r="X11" i="50"/>
  <c r="X12" i="50"/>
  <c r="B13" i="50"/>
  <c r="B15" i="50" s="1"/>
  <c r="D19" i="62" s="1"/>
  <c r="C13" i="50"/>
  <c r="E13" i="50"/>
  <c r="E15" i="50" s="1"/>
  <c r="E24" i="50" s="1"/>
  <c r="K19" i="62" s="1"/>
  <c r="F13" i="50"/>
  <c r="G13" i="50"/>
  <c r="G15" i="50" s="1"/>
  <c r="H13" i="50"/>
  <c r="H15" i="50" s="1"/>
  <c r="J13" i="50"/>
  <c r="L13" i="50"/>
  <c r="M13" i="50"/>
  <c r="M15" i="50" s="1"/>
  <c r="N13" i="50"/>
  <c r="O13" i="50"/>
  <c r="O15" i="50" s="1"/>
  <c r="Q13" i="50"/>
  <c r="S13" i="50"/>
  <c r="T13" i="50"/>
  <c r="U13" i="50"/>
  <c r="V13" i="50"/>
  <c r="X13" i="50"/>
  <c r="C15" i="50"/>
  <c r="G19" i="62" s="1"/>
  <c r="G12" i="62" s="1"/>
  <c r="F15" i="50"/>
  <c r="J15" i="50"/>
  <c r="L15" i="50"/>
  <c r="L24" i="50" s="1"/>
  <c r="W19" i="62" s="1"/>
  <c r="W12" i="62" s="1"/>
  <c r="N15" i="50"/>
  <c r="Z19" i="62" s="1"/>
  <c r="Q15" i="50"/>
  <c r="S17" i="50"/>
  <c r="T17" i="50"/>
  <c r="B18" i="50"/>
  <c r="S18" i="50"/>
  <c r="T18" i="50"/>
  <c r="U18" i="50"/>
  <c r="V18" i="50"/>
  <c r="B19" i="50"/>
  <c r="S19" i="50"/>
  <c r="T19" i="50"/>
  <c r="U19" i="50"/>
  <c r="V19" i="50"/>
  <c r="X19" i="50"/>
  <c r="X20" i="50"/>
  <c r="X21" i="50"/>
  <c r="X22" i="50"/>
  <c r="X23" i="50"/>
  <c r="C24" i="50"/>
  <c r="H19" i="62" s="1"/>
  <c r="F24" i="50"/>
  <c r="M19" i="62" s="1"/>
  <c r="J24" i="50"/>
  <c r="N24" i="50"/>
  <c r="Q24" i="50"/>
  <c r="AF19" i="62" s="1"/>
  <c r="AF12" i="62" s="1"/>
  <c r="C7" i="73"/>
  <c r="C10" i="73" s="1"/>
  <c r="G10" i="62" s="1"/>
  <c r="J7" i="73"/>
  <c r="J10" i="73" s="1"/>
  <c r="S10" i="62" s="1"/>
  <c r="L7" i="73"/>
  <c r="M7" i="73"/>
  <c r="M10" i="73" s="1"/>
  <c r="X10" i="62" s="1"/>
  <c r="N7" i="73"/>
  <c r="O7" i="73"/>
  <c r="Q7" i="73"/>
  <c r="S7" i="73"/>
  <c r="T7" i="73"/>
  <c r="T12" i="73" s="1"/>
  <c r="U7" i="73"/>
  <c r="U12" i="73" s="1"/>
  <c r="T8" i="73"/>
  <c r="T10" i="73" s="1"/>
  <c r="AJ10" i="62" s="1"/>
  <c r="U8" i="73"/>
  <c r="U10" i="73" s="1"/>
  <c r="AL10" i="62" s="1"/>
  <c r="X9" i="73"/>
  <c r="B10" i="73"/>
  <c r="E10" i="73"/>
  <c r="F10" i="73"/>
  <c r="G10" i="73"/>
  <c r="N10" i="62" s="1"/>
  <c r="H10" i="73"/>
  <c r="P10" i="62" s="1"/>
  <c r="Q10" i="73"/>
  <c r="AE10" i="62" s="1"/>
  <c r="B12" i="73"/>
  <c r="B11" i="73" s="1"/>
  <c r="E12" i="73"/>
  <c r="F12" i="73"/>
  <c r="F11" i="73" s="1"/>
  <c r="G12" i="73"/>
  <c r="G11" i="73" s="1"/>
  <c r="H12" i="73"/>
  <c r="P11" i="62" s="1"/>
  <c r="J12" i="73"/>
  <c r="N12" i="73"/>
  <c r="Z11" i="62" s="1"/>
  <c r="N11" i="73"/>
  <c r="O12" i="73"/>
  <c r="Q12" i="73"/>
  <c r="Q11" i="73" s="1"/>
  <c r="S12" i="73"/>
  <c r="C15" i="73"/>
  <c r="J15" i="73"/>
  <c r="L15" i="73"/>
  <c r="M15" i="73"/>
  <c r="M20" i="73" s="1"/>
  <c r="N15" i="73"/>
  <c r="N20" i="73" s="1"/>
  <c r="AA11" i="62" s="1"/>
  <c r="O15" i="73"/>
  <c r="Q15" i="73"/>
  <c r="S15" i="73"/>
  <c r="T15" i="73"/>
  <c r="T20" i="73" s="1"/>
  <c r="N16" i="73"/>
  <c r="N18" i="73" s="1"/>
  <c r="AA10" i="62" s="1"/>
  <c r="U15" i="73"/>
  <c r="U20" i="73" s="1"/>
  <c r="AM11" i="62" s="1"/>
  <c r="T16" i="73"/>
  <c r="T18" i="73" s="1"/>
  <c r="U16" i="73"/>
  <c r="U18" i="73" s="1"/>
  <c r="AM10" i="62" s="1"/>
  <c r="B18" i="73"/>
  <c r="E18" i="73"/>
  <c r="F18" i="73"/>
  <c r="G18" i="73"/>
  <c r="O10" i="62" s="1"/>
  <c r="H18" i="73"/>
  <c r="J18" i="73"/>
  <c r="T10" i="62" s="1"/>
  <c r="M18" i="73"/>
  <c r="B20" i="73"/>
  <c r="B19" i="73" s="1"/>
  <c r="E20" i="73"/>
  <c r="K11" i="62" s="1"/>
  <c r="E19" i="73"/>
  <c r="F20" i="73"/>
  <c r="F19" i="73"/>
  <c r="G20" i="73"/>
  <c r="H20" i="73"/>
  <c r="J20" i="73"/>
  <c r="T11" i="62" s="1"/>
  <c r="J19" i="73"/>
  <c r="N19" i="73"/>
  <c r="O20" i="73"/>
  <c r="Q20" i="73"/>
  <c r="S20" i="73"/>
  <c r="U19" i="73"/>
  <c r="B6" i="65"/>
  <c r="C6" i="65"/>
  <c r="G6" i="62" s="1"/>
  <c r="G8" i="62" s="1"/>
  <c r="X6" i="65"/>
  <c r="AQ6" i="62" s="1"/>
  <c r="B7" i="65"/>
  <c r="D7" i="62" s="1"/>
  <c r="C7" i="65"/>
  <c r="X7" i="65"/>
  <c r="AQ7" i="62" s="1"/>
  <c r="B16" i="65"/>
  <c r="B8" i="65" s="1"/>
  <c r="B12" i="65"/>
  <c r="C16" i="65"/>
  <c r="C12" i="65"/>
  <c r="E8" i="65"/>
  <c r="F8" i="65"/>
  <c r="G8" i="65"/>
  <c r="H8" i="65"/>
  <c r="J8" i="65"/>
  <c r="L8" i="65"/>
  <c r="M8" i="65"/>
  <c r="N8" i="65"/>
  <c r="N8" i="73" s="1"/>
  <c r="N10" i="73" s="1"/>
  <c r="Z10" i="62" s="1"/>
  <c r="O8" i="65"/>
  <c r="O8" i="73" s="1"/>
  <c r="Q8" i="65"/>
  <c r="Q8" i="73" s="1"/>
  <c r="X7" i="73" s="1"/>
  <c r="S8" i="65"/>
  <c r="S6" i="50" s="1"/>
  <c r="S15" i="50" s="1"/>
  <c r="AH19" i="62" s="1"/>
  <c r="T8" i="65"/>
  <c r="T6" i="50" s="1"/>
  <c r="T15" i="50" s="1"/>
  <c r="U8" i="65"/>
  <c r="V8" i="65"/>
  <c r="E10" i="65"/>
  <c r="E12" i="65" s="1"/>
  <c r="H10" i="65"/>
  <c r="J10" i="65"/>
  <c r="L10" i="65"/>
  <c r="M10" i="65"/>
  <c r="N10" i="65"/>
  <c r="O10" i="65"/>
  <c r="Q10" i="65"/>
  <c r="S10" i="65"/>
  <c r="X10" i="65" s="1"/>
  <c r="T10" i="65"/>
  <c r="U10" i="65"/>
  <c r="V10" i="65"/>
  <c r="N11" i="65"/>
  <c r="O11" i="65"/>
  <c r="Q11" i="65"/>
  <c r="S11" i="65"/>
  <c r="X11" i="65" s="1"/>
  <c r="T11" i="65"/>
  <c r="U11" i="65"/>
  <c r="V11" i="65"/>
  <c r="H12" i="65"/>
  <c r="J16" i="65"/>
  <c r="J12" i="65"/>
  <c r="L12" i="65"/>
  <c r="M16" i="65"/>
  <c r="M12" i="65" s="1"/>
  <c r="N16" i="65"/>
  <c r="N12" i="65" s="1"/>
  <c r="O16" i="65"/>
  <c r="O16" i="73" s="1"/>
  <c r="O12" i="65"/>
  <c r="Q16" i="65"/>
  <c r="S16" i="65"/>
  <c r="S12" i="65" s="1"/>
  <c r="T16" i="65"/>
  <c r="T12" i="65"/>
  <c r="T9" i="51" s="1"/>
  <c r="T18" i="51" s="1"/>
  <c r="U16" i="65"/>
  <c r="V16" i="65"/>
  <c r="X14" i="65"/>
  <c r="AR6" i="62" s="1"/>
  <c r="X15" i="65"/>
  <c r="E16" i="65"/>
  <c r="F16" i="65"/>
  <c r="G16" i="65"/>
  <c r="H16" i="65"/>
  <c r="L16" i="65"/>
  <c r="D6" i="62"/>
  <c r="E6" i="62"/>
  <c r="H6" i="62"/>
  <c r="H8" i="62" s="1"/>
  <c r="J6" i="62"/>
  <c r="J8" i="62" s="1"/>
  <c r="K6" i="62"/>
  <c r="K8" i="62" s="1"/>
  <c r="L6" i="62"/>
  <c r="L8" i="62" s="1"/>
  <c r="M6" i="62"/>
  <c r="N6" i="62"/>
  <c r="O6" i="62"/>
  <c r="P6" i="62"/>
  <c r="Q6" i="62"/>
  <c r="Q8" i="62" s="1"/>
  <c r="S6" i="62"/>
  <c r="S8" i="62" s="1"/>
  <c r="T6" i="62"/>
  <c r="T8" i="62" s="1"/>
  <c r="V6" i="62"/>
  <c r="V8" i="62" s="1"/>
  <c r="W6" i="62"/>
  <c r="X6" i="62"/>
  <c r="Y6" i="62"/>
  <c r="Z6" i="62"/>
  <c r="AA6" i="62"/>
  <c r="AA8" i="62" s="1"/>
  <c r="AB6" i="62"/>
  <c r="AB8" i="62" s="1"/>
  <c r="AC6" i="62"/>
  <c r="AC8" i="62" s="1"/>
  <c r="AE6" i="62"/>
  <c r="AE8" i="62" s="1"/>
  <c r="AF6" i="62"/>
  <c r="AH6" i="62"/>
  <c r="AI6" i="62"/>
  <c r="AJ6" i="62"/>
  <c r="AK6" i="62"/>
  <c r="AK8" i="62" s="1"/>
  <c r="AL6" i="62"/>
  <c r="AL8" i="62" s="1"/>
  <c r="AM6" i="62"/>
  <c r="AM8" i="62" s="1"/>
  <c r="AN6" i="62"/>
  <c r="AN8" i="62" s="1"/>
  <c r="AO6" i="62"/>
  <c r="E7" i="62"/>
  <c r="E8" i="62" s="1"/>
  <c r="G7" i="62"/>
  <c r="H7" i="62"/>
  <c r="J7" i="62"/>
  <c r="K7" i="62"/>
  <c r="L7" i="62"/>
  <c r="M7" i="62"/>
  <c r="N7" i="62"/>
  <c r="O7" i="62"/>
  <c r="P7" i="62"/>
  <c r="P8" i="62" s="1"/>
  <c r="Q7" i="62"/>
  <c r="S7" i="62"/>
  <c r="T7" i="62"/>
  <c r="V7" i="62"/>
  <c r="W7" i="62"/>
  <c r="X7" i="62"/>
  <c r="Y7" i="62"/>
  <c r="Z7" i="62"/>
  <c r="Z8" i="62" s="1"/>
  <c r="AA7" i="62"/>
  <c r="AB7" i="62"/>
  <c r="AC7" i="62"/>
  <c r="AE7" i="62"/>
  <c r="AF7" i="62"/>
  <c r="AH7" i="62"/>
  <c r="AI7" i="62"/>
  <c r="AJ7" i="62"/>
  <c r="AJ8" i="62" s="1"/>
  <c r="AK7" i="62"/>
  <c r="AL7" i="62"/>
  <c r="AM7" i="62"/>
  <c r="AN7" i="62"/>
  <c r="AO7" i="62"/>
  <c r="AR7" i="62"/>
  <c r="AR8" i="62" s="1"/>
  <c r="D8" i="62"/>
  <c r="M8" i="62"/>
  <c r="N8" i="62"/>
  <c r="O8" i="62"/>
  <c r="W8" i="62"/>
  <c r="X8" i="62"/>
  <c r="Y8" i="62"/>
  <c r="AF8" i="62"/>
  <c r="AH8" i="62"/>
  <c r="AI8" i="62"/>
  <c r="AO8" i="62"/>
  <c r="AQ8" i="62"/>
  <c r="D10" i="62"/>
  <c r="E10" i="62"/>
  <c r="J10" i="62"/>
  <c r="K10" i="62"/>
  <c r="L10" i="62"/>
  <c r="M10" i="62"/>
  <c r="Y10" i="62"/>
  <c r="D11" i="62"/>
  <c r="E11" i="62"/>
  <c r="M11" i="62"/>
  <c r="N11" i="62"/>
  <c r="O11" i="62"/>
  <c r="Q11" i="62"/>
  <c r="S11" i="62"/>
  <c r="AF11" i="62"/>
  <c r="AH11" i="62"/>
  <c r="AI11" i="62"/>
  <c r="AK11" i="62"/>
  <c r="S19" i="62"/>
  <c r="S12" i="62" s="1"/>
  <c r="T19" i="62"/>
  <c r="T12" i="62"/>
  <c r="V19" i="62"/>
  <c r="V12" i="62" s="1"/>
  <c r="J19" i="62"/>
  <c r="L19" i="62"/>
  <c r="AA19" i="62"/>
  <c r="AE19" i="62"/>
  <c r="AE12" i="62"/>
  <c r="AJ19" i="62"/>
  <c r="D14" i="62"/>
  <c r="E14" i="62"/>
  <c r="J14" i="62"/>
  <c r="L14" i="62"/>
  <c r="M14" i="62"/>
  <c r="N14" i="62"/>
  <c r="O14" i="62"/>
  <c r="P14" i="62"/>
  <c r="Q14" i="62"/>
  <c r="S14" i="62"/>
  <c r="W14" i="62"/>
  <c r="X14" i="62"/>
  <c r="AB14" i="62"/>
  <c r="AE14" i="62"/>
  <c r="AF14" i="62"/>
  <c r="AH14" i="62"/>
  <c r="AJ14" i="62"/>
  <c r="AK14" i="62"/>
  <c r="AL14" i="62"/>
  <c r="AQ14" i="62"/>
  <c r="D15" i="62"/>
  <c r="E15" i="62"/>
  <c r="G15" i="62"/>
  <c r="H15" i="62"/>
  <c r="J15" i="62"/>
  <c r="K15" i="62"/>
  <c r="L15" i="62"/>
  <c r="M15" i="62"/>
  <c r="N15" i="62"/>
  <c r="O15" i="62"/>
  <c r="P15" i="62"/>
  <c r="Q15" i="62"/>
  <c r="S15" i="62"/>
  <c r="T15" i="62"/>
  <c r="V15" i="62"/>
  <c r="W15" i="62"/>
  <c r="X15" i="62"/>
  <c r="Y15" i="62"/>
  <c r="Z15" i="62"/>
  <c r="AA15" i="62"/>
  <c r="AB15" i="62"/>
  <c r="AC15" i="62"/>
  <c r="AE15" i="62"/>
  <c r="AF15" i="62"/>
  <c r="AH15" i="62"/>
  <c r="AI15" i="62"/>
  <c r="AJ15" i="62"/>
  <c r="AK15" i="62"/>
  <c r="AL15" i="62"/>
  <c r="AM15" i="62"/>
  <c r="AN15" i="62"/>
  <c r="AO15" i="62"/>
  <c r="AQ15" i="62"/>
  <c r="AR15" i="62"/>
  <c r="H16" i="62"/>
  <c r="J16" i="62"/>
  <c r="L16" i="62"/>
  <c r="N16" i="62"/>
  <c r="P16" i="62"/>
  <c r="Q16" i="62"/>
  <c r="S16" i="62"/>
  <c r="T16" i="62"/>
  <c r="V16" i="62"/>
  <c r="W16" i="62"/>
  <c r="AE16" i="62"/>
  <c r="AF16" i="62"/>
  <c r="AH16" i="62"/>
  <c r="AJ16" i="62"/>
  <c r="AL16" i="62"/>
  <c r="AM16" i="62"/>
  <c r="AN16" i="62"/>
  <c r="AO16" i="62"/>
  <c r="D17" i="62"/>
  <c r="E17" i="62"/>
  <c r="G17" i="62"/>
  <c r="H17" i="62"/>
  <c r="J17" i="62"/>
  <c r="K17" i="62"/>
  <c r="L17" i="62"/>
  <c r="M17" i="62"/>
  <c r="N17" i="62"/>
  <c r="O17" i="62"/>
  <c r="P17" i="62"/>
  <c r="Q17" i="62"/>
  <c r="S17" i="62"/>
  <c r="T17" i="62"/>
  <c r="V17" i="62"/>
  <c r="W17" i="62"/>
  <c r="X17" i="62"/>
  <c r="Y17" i="62"/>
  <c r="Z17" i="62"/>
  <c r="AA17" i="62"/>
  <c r="AB17" i="62"/>
  <c r="AC17" i="62"/>
  <c r="AE17" i="62"/>
  <c r="AF17" i="62"/>
  <c r="AH17" i="62"/>
  <c r="AI17" i="62"/>
  <c r="AJ17" i="62"/>
  <c r="AK17" i="62"/>
  <c r="AL17" i="62"/>
  <c r="AM17" i="62"/>
  <c r="AN17" i="62"/>
  <c r="AO17" i="62"/>
  <c r="AQ17" i="62"/>
  <c r="AR17" i="62"/>
  <c r="D20" i="62"/>
  <c r="E20" i="62"/>
  <c r="G20" i="62"/>
  <c r="H20" i="62"/>
  <c r="J20" i="62"/>
  <c r="K20" i="62"/>
  <c r="L20" i="62"/>
  <c r="M20" i="62"/>
  <c r="N20" i="62"/>
  <c r="O20" i="62"/>
  <c r="P20" i="62"/>
  <c r="Q20" i="62"/>
  <c r="S20" i="62"/>
  <c r="T20" i="62"/>
  <c r="V20" i="62"/>
  <c r="W20" i="62"/>
  <c r="X20" i="62"/>
  <c r="Y20" i="62"/>
  <c r="Z20" i="62"/>
  <c r="AA20" i="62"/>
  <c r="AB20" i="62"/>
  <c r="AC20" i="62"/>
  <c r="AE20" i="62"/>
  <c r="AF20" i="62"/>
  <c r="AH20" i="62"/>
  <c r="AI20" i="62"/>
  <c r="AJ20" i="62"/>
  <c r="AK20" i="62"/>
  <c r="AL20" i="62"/>
  <c r="AM20" i="62"/>
  <c r="AN20" i="62"/>
  <c r="AO20" i="62"/>
  <c r="AQ20" i="62"/>
  <c r="AR20" i="62"/>
  <c r="D21" i="62"/>
  <c r="G21" i="62"/>
  <c r="J21" i="62"/>
  <c r="L21" i="62"/>
  <c r="N21" i="62"/>
  <c r="P21" i="62"/>
  <c r="S21" i="62"/>
  <c r="V21" i="62"/>
  <c r="X21" i="62"/>
  <c r="Z21" i="62"/>
  <c r="AB21" i="62"/>
  <c r="AC21" i="62"/>
  <c r="AE21" i="62"/>
  <c r="AF21" i="62"/>
  <c r="AH21" i="62"/>
  <c r="AJ21" i="62"/>
  <c r="AL21" i="62"/>
  <c r="AN21" i="62"/>
  <c r="AQ21" i="62"/>
  <c r="D22" i="62"/>
  <c r="E22" i="62"/>
  <c r="G22" i="62"/>
  <c r="H22" i="62"/>
  <c r="J22" i="62"/>
  <c r="K22" i="62"/>
  <c r="L22" i="62"/>
  <c r="M22" i="62"/>
  <c r="N22" i="62"/>
  <c r="O22" i="62"/>
  <c r="P22" i="62"/>
  <c r="Q22" i="62"/>
  <c r="S22" i="62"/>
  <c r="T22" i="62"/>
  <c r="V22" i="62"/>
  <c r="W22" i="62"/>
  <c r="X22" i="62"/>
  <c r="Y22" i="62"/>
  <c r="Z22" i="62"/>
  <c r="AA22" i="62"/>
  <c r="AB22" i="62"/>
  <c r="AC22" i="62"/>
  <c r="AE22" i="62"/>
  <c r="AF22" i="62"/>
  <c r="AH22" i="62"/>
  <c r="AI22" i="62"/>
  <c r="AJ22" i="62"/>
  <c r="AK22" i="62"/>
  <c r="AL22" i="62"/>
  <c r="AM22" i="62"/>
  <c r="AN22" i="62"/>
  <c r="AO22" i="62"/>
  <c r="AQ22" i="62"/>
  <c r="AR22" i="62"/>
  <c r="AC23" i="62"/>
  <c r="AF23" i="62"/>
  <c r="E24" i="62"/>
  <c r="H24" i="62"/>
  <c r="K24" i="62"/>
  <c r="M24" i="62"/>
  <c r="O24" i="62"/>
  <c r="Q24" i="62"/>
  <c r="T24" i="62"/>
  <c r="W24" i="62"/>
  <c r="Y24" i="62"/>
  <c r="AA24" i="62"/>
  <c r="AC24" i="62"/>
  <c r="AF24" i="62"/>
  <c r="AI24" i="62"/>
  <c r="AK24" i="62"/>
  <c r="AM24" i="62"/>
  <c r="AO24" i="62"/>
  <c r="AR24" i="62"/>
  <c r="X6" i="48"/>
  <c r="B10" i="48"/>
  <c r="C10" i="48"/>
  <c r="E10" i="48"/>
  <c r="F10" i="48"/>
  <c r="G10" i="48"/>
  <c r="H10" i="48"/>
  <c r="J10" i="48"/>
  <c r="L10" i="48"/>
  <c r="S10" i="48"/>
  <c r="T10" i="48"/>
  <c r="U10" i="48"/>
  <c r="V10" i="48"/>
  <c r="X11" i="48"/>
  <c r="L12" i="48"/>
  <c r="L18" i="48" s="1"/>
  <c r="L20" i="48" s="1"/>
  <c r="M12" i="48"/>
  <c r="X12" i="48"/>
  <c r="B13" i="48"/>
  <c r="C13" i="48"/>
  <c r="E13" i="48"/>
  <c r="F13" i="48"/>
  <c r="H13" i="48"/>
  <c r="J13" i="48"/>
  <c r="L13" i="48"/>
  <c r="M13" i="48"/>
  <c r="N13" i="48"/>
  <c r="O13" i="48"/>
  <c r="Q13" i="48"/>
  <c r="S13" i="48"/>
  <c r="T13" i="48"/>
  <c r="U13" i="48"/>
  <c r="V13" i="48"/>
  <c r="B14" i="48"/>
  <c r="C14" i="48"/>
  <c r="E14" i="48"/>
  <c r="F14" i="48"/>
  <c r="G14" i="48"/>
  <c r="H14" i="48"/>
  <c r="J14" i="48"/>
  <c r="L14" i="48"/>
  <c r="M14" i="48"/>
  <c r="X14" i="48"/>
  <c r="B15" i="48"/>
  <c r="C15" i="48"/>
  <c r="E15" i="48"/>
  <c r="F15" i="48"/>
  <c r="G15" i="48"/>
  <c r="H15" i="48"/>
  <c r="J15" i="48"/>
  <c r="L15" i="48"/>
  <c r="M15" i="48"/>
  <c r="N15" i="48"/>
  <c r="O15" i="48"/>
  <c r="Q15" i="48"/>
  <c r="S15" i="48"/>
  <c r="T15" i="48"/>
  <c r="U15" i="48"/>
  <c r="V15" i="48"/>
  <c r="X15" i="48"/>
  <c r="B16" i="48"/>
  <c r="C16" i="48"/>
  <c r="X16" i="48"/>
  <c r="F17" i="48"/>
  <c r="G17" i="48"/>
  <c r="H17" i="48"/>
  <c r="O17" i="48"/>
  <c r="Q17" i="48"/>
  <c r="S17" i="48"/>
  <c r="T17" i="48"/>
  <c r="U17" i="48"/>
  <c r="V17" i="48"/>
  <c r="O18" i="48"/>
  <c r="Q18" i="48"/>
  <c r="Q20" i="48" s="1"/>
  <c r="X19" i="48"/>
  <c r="O20" i="48"/>
  <c r="X7" i="39"/>
  <c r="X8" i="39"/>
  <c r="X13" i="39" s="1"/>
  <c r="X18" i="39" s="1"/>
  <c r="AR35" i="61" s="1"/>
  <c r="X9" i="39"/>
  <c r="B10" i="39"/>
  <c r="C10" i="39"/>
  <c r="C18" i="39" s="1"/>
  <c r="E10" i="39"/>
  <c r="F10" i="39"/>
  <c r="G10" i="39"/>
  <c r="H10" i="39"/>
  <c r="J10" i="39"/>
  <c r="L10" i="39"/>
  <c r="M10" i="39"/>
  <c r="M18" i="39" s="1"/>
  <c r="N10" i="39"/>
  <c r="N18" i="39" s="1"/>
  <c r="O10" i="39"/>
  <c r="Q10" i="39"/>
  <c r="S10" i="39"/>
  <c r="T10" i="39"/>
  <c r="U10" i="39"/>
  <c r="V10" i="39"/>
  <c r="X10" i="39"/>
  <c r="B13" i="39"/>
  <c r="B12" i="48" s="1"/>
  <c r="B18" i="48" s="1"/>
  <c r="B20" i="48" s="1"/>
  <c r="C13" i="39"/>
  <c r="E13" i="39"/>
  <c r="E12" i="48" s="1"/>
  <c r="E18" i="48" s="1"/>
  <c r="F13" i="39"/>
  <c r="F12" i="48" s="1"/>
  <c r="G13" i="39"/>
  <c r="G12" i="48" s="1"/>
  <c r="G18" i="48" s="1"/>
  <c r="H13" i="39"/>
  <c r="H18" i="39" s="1"/>
  <c r="J13" i="39"/>
  <c r="L13" i="39"/>
  <c r="L18" i="39" s="1"/>
  <c r="S13" i="39"/>
  <c r="T13" i="39"/>
  <c r="U13" i="39"/>
  <c r="V13" i="39"/>
  <c r="V18" i="39" s="1"/>
  <c r="X14" i="39"/>
  <c r="X15" i="39"/>
  <c r="X16" i="39"/>
  <c r="X17" i="39"/>
  <c r="E18" i="39"/>
  <c r="F18" i="39"/>
  <c r="G18" i="39"/>
  <c r="J18" i="39"/>
  <c r="O18" i="39"/>
  <c r="Q18" i="39"/>
  <c r="S18" i="39"/>
  <c r="T18" i="39"/>
  <c r="U18" i="39"/>
  <c r="X23" i="39"/>
  <c r="X24" i="39"/>
  <c r="X29" i="39" s="1"/>
  <c r="X25" i="39"/>
  <c r="X26" i="39" s="1"/>
  <c r="B26" i="39"/>
  <c r="C26" i="39"/>
  <c r="E26" i="39"/>
  <c r="E35" i="39" s="1"/>
  <c r="F26" i="39"/>
  <c r="G26" i="39"/>
  <c r="H26" i="39"/>
  <c r="J26" i="39"/>
  <c r="L26" i="39"/>
  <c r="M26" i="39"/>
  <c r="N26" i="39"/>
  <c r="O26" i="39"/>
  <c r="Q26" i="39"/>
  <c r="S26" i="39"/>
  <c r="T26" i="39"/>
  <c r="U26" i="39"/>
  <c r="U35" i="39" s="1"/>
  <c r="V26" i="39"/>
  <c r="V35" i="39" s="1"/>
  <c r="B29" i="39"/>
  <c r="C29" i="39"/>
  <c r="C35" i="39" s="1"/>
  <c r="H37" i="61" s="1"/>
  <c r="E29" i="39"/>
  <c r="F29" i="39"/>
  <c r="G29" i="39"/>
  <c r="H29" i="39"/>
  <c r="H35" i="39" s="1"/>
  <c r="J29" i="39"/>
  <c r="L29" i="39"/>
  <c r="S29" i="39"/>
  <c r="T29" i="39"/>
  <c r="T35" i="39" s="1"/>
  <c r="AK37" i="61" s="1"/>
  <c r="U29" i="39"/>
  <c r="V29" i="39"/>
  <c r="X30" i="39"/>
  <c r="X31" i="39"/>
  <c r="X32" i="39"/>
  <c r="X33" i="39"/>
  <c r="B34" i="39"/>
  <c r="B17" i="48" s="1"/>
  <c r="C34" i="39"/>
  <c r="C17" i="48" s="1"/>
  <c r="E34" i="39"/>
  <c r="E17" i="48" s="1"/>
  <c r="F34" i="39"/>
  <c r="G34" i="39"/>
  <c r="H34" i="39"/>
  <c r="J34" i="39"/>
  <c r="J17" i="48" s="1"/>
  <c r="L34" i="39"/>
  <c r="L17" i="48" s="1"/>
  <c r="M34" i="39"/>
  <c r="N34" i="39"/>
  <c r="N17" i="48" s="1"/>
  <c r="X34" i="39"/>
  <c r="F35" i="39"/>
  <c r="G35" i="39"/>
  <c r="N35" i="39"/>
  <c r="O35" i="39"/>
  <c r="Q35" i="39"/>
  <c r="AF37" i="61" s="1"/>
  <c r="S35" i="39"/>
  <c r="AI37" i="61" s="1"/>
  <c r="X8" i="49"/>
  <c r="X9" i="49"/>
  <c r="X10" i="49"/>
  <c r="X11" i="49"/>
  <c r="X13" i="49" s="1"/>
  <c r="X12" i="49"/>
  <c r="B13" i="49"/>
  <c r="C13" i="49"/>
  <c r="E13" i="49"/>
  <c r="E15" i="49" s="1"/>
  <c r="E24" i="49" s="1"/>
  <c r="F13" i="49"/>
  <c r="F15" i="49" s="1"/>
  <c r="G13" i="49"/>
  <c r="H13" i="49"/>
  <c r="J13" i="49"/>
  <c r="J15" i="49" s="1"/>
  <c r="J24" i="49" s="1"/>
  <c r="L13" i="49"/>
  <c r="M13" i="49"/>
  <c r="N13" i="49"/>
  <c r="N15" i="49" s="1"/>
  <c r="O13" i="49"/>
  <c r="O15" i="49" s="1"/>
  <c r="O24" i="49" s="1"/>
  <c r="Q13" i="49"/>
  <c r="Q15" i="49" s="1"/>
  <c r="Q24" i="49" s="1"/>
  <c r="S13" i="49"/>
  <c r="T13" i="49"/>
  <c r="U13" i="49"/>
  <c r="V13" i="49"/>
  <c r="B15" i="49"/>
  <c r="B24" i="49" s="1"/>
  <c r="E40" i="61" s="1"/>
  <c r="C15" i="49"/>
  <c r="G15" i="49"/>
  <c r="H15" i="49"/>
  <c r="H24" i="49" s="1"/>
  <c r="L15" i="49"/>
  <c r="M15" i="49"/>
  <c r="M24" i="49" s="1"/>
  <c r="B18" i="49"/>
  <c r="S18" i="49"/>
  <c r="T18" i="49"/>
  <c r="U18" i="49"/>
  <c r="V18" i="49"/>
  <c r="B19" i="49"/>
  <c r="S19" i="49"/>
  <c r="T19" i="49"/>
  <c r="U19" i="49"/>
  <c r="V19" i="49"/>
  <c r="X19" i="49"/>
  <c r="X20" i="49"/>
  <c r="X21" i="49"/>
  <c r="X22" i="49"/>
  <c r="X23" i="49"/>
  <c r="F24" i="49"/>
  <c r="M40" i="61" s="1"/>
  <c r="G24" i="49"/>
  <c r="O40" i="61" s="1"/>
  <c r="L24" i="49"/>
  <c r="B18" i="27"/>
  <c r="B12" i="27"/>
  <c r="B6" i="27" s="1"/>
  <c r="B10" i="27" s="1"/>
  <c r="C18" i="27"/>
  <c r="C12" i="27"/>
  <c r="C6" i="27"/>
  <c r="E8" i="27"/>
  <c r="J8" i="27" s="1"/>
  <c r="E6" i="27"/>
  <c r="F8" i="27"/>
  <c r="F6" i="27"/>
  <c r="G8" i="27"/>
  <c r="G6" i="27" s="1"/>
  <c r="G10" i="27" s="1"/>
  <c r="G8" i="43" s="1"/>
  <c r="H8" i="27"/>
  <c r="H6" i="27"/>
  <c r="H10" i="27" s="1"/>
  <c r="L6" i="27"/>
  <c r="M8" i="27"/>
  <c r="M6" i="27" s="1"/>
  <c r="M10" i="27" s="1"/>
  <c r="N8" i="27"/>
  <c r="N6" i="27"/>
  <c r="O8" i="27"/>
  <c r="O6" i="27"/>
  <c r="O10" i="27" s="1"/>
  <c r="S8" i="27"/>
  <c r="S6" i="27"/>
  <c r="S10" i="27" s="1"/>
  <c r="T8" i="27"/>
  <c r="T6" i="27" s="1"/>
  <c r="T10" i="27" s="1"/>
  <c r="T8" i="43" s="1"/>
  <c r="U8" i="27"/>
  <c r="U6" i="27"/>
  <c r="U10" i="27" s="1"/>
  <c r="V6" i="27"/>
  <c r="V10" i="27" s="1"/>
  <c r="V8" i="43" s="1"/>
  <c r="X6" i="27"/>
  <c r="B7" i="27"/>
  <c r="C7" i="27"/>
  <c r="Q7" i="27"/>
  <c r="X7" i="27"/>
  <c r="B8" i="27"/>
  <c r="C8" i="27"/>
  <c r="X8" i="27"/>
  <c r="AQ28" i="61" s="1"/>
  <c r="B9" i="27"/>
  <c r="C9" i="27"/>
  <c r="Q9" i="27"/>
  <c r="X9" i="27"/>
  <c r="C10" i="27"/>
  <c r="E10" i="27"/>
  <c r="F10" i="27"/>
  <c r="F8" i="43" s="1"/>
  <c r="L10" i="27"/>
  <c r="N10" i="27"/>
  <c r="N8" i="43" s="1"/>
  <c r="E20" i="27"/>
  <c r="E18" i="27"/>
  <c r="E22" i="27" s="1"/>
  <c r="K26" i="61" s="1"/>
  <c r="F20" i="27"/>
  <c r="F18" i="27"/>
  <c r="F22" i="27" s="1"/>
  <c r="G20" i="27"/>
  <c r="G18" i="27"/>
  <c r="G22" i="27" s="1"/>
  <c r="H20" i="27"/>
  <c r="H14" i="27" s="1"/>
  <c r="H18" i="27"/>
  <c r="L20" i="27"/>
  <c r="L18" i="27" s="1"/>
  <c r="M20" i="27"/>
  <c r="M18" i="27"/>
  <c r="N20" i="27"/>
  <c r="O20" i="27"/>
  <c r="O18" i="27" s="1"/>
  <c r="S20" i="27"/>
  <c r="S14" i="27" s="1"/>
  <c r="T20" i="27"/>
  <c r="T18" i="27" s="1"/>
  <c r="U20" i="27"/>
  <c r="U14" i="27" s="1"/>
  <c r="U18" i="27"/>
  <c r="U22" i="27" s="1"/>
  <c r="V18" i="27"/>
  <c r="E13" i="27"/>
  <c r="F13" i="27"/>
  <c r="G13" i="27"/>
  <c r="H13" i="27"/>
  <c r="L13" i="27"/>
  <c r="Q13" i="27" s="1"/>
  <c r="M13" i="27"/>
  <c r="N13" i="27"/>
  <c r="O13" i="27"/>
  <c r="S13" i="27"/>
  <c r="T13" i="27"/>
  <c r="U13" i="27"/>
  <c r="V13" i="27"/>
  <c r="X13" i="27"/>
  <c r="F14" i="27"/>
  <c r="G14" i="27"/>
  <c r="L14" i="27"/>
  <c r="M14" i="27"/>
  <c r="N14" i="27"/>
  <c r="T14" i="27"/>
  <c r="V14" i="27"/>
  <c r="E15" i="27"/>
  <c r="F15" i="27"/>
  <c r="G15" i="27"/>
  <c r="H15" i="27"/>
  <c r="L15" i="27"/>
  <c r="M15" i="27"/>
  <c r="N15" i="27"/>
  <c r="O15" i="27"/>
  <c r="Q15" i="27"/>
  <c r="S15" i="27"/>
  <c r="X15" i="27" s="1"/>
  <c r="T15" i="27"/>
  <c r="U15" i="27"/>
  <c r="V15" i="27"/>
  <c r="B16" i="27"/>
  <c r="C16" i="27"/>
  <c r="J18" i="27"/>
  <c r="J22" i="27" s="1"/>
  <c r="J24" i="43" s="1"/>
  <c r="Q19" i="27"/>
  <c r="X19" i="27"/>
  <c r="Q21" i="27"/>
  <c r="X21" i="27"/>
  <c r="AR29" i="61" s="1"/>
  <c r="B22" i="27"/>
  <c r="C22" i="27"/>
  <c r="C8" i="72"/>
  <c r="V7" i="72"/>
  <c r="T8" i="72"/>
  <c r="X9" i="72"/>
  <c r="B12" i="72"/>
  <c r="E12" i="72"/>
  <c r="F12" i="72"/>
  <c r="G12" i="72"/>
  <c r="H12" i="72"/>
  <c r="V12" i="72"/>
  <c r="B16" i="72"/>
  <c r="C15" i="72"/>
  <c r="B20" i="72"/>
  <c r="E20" i="72"/>
  <c r="F20" i="72"/>
  <c r="G20" i="72"/>
  <c r="H20" i="72"/>
  <c r="B8" i="43"/>
  <c r="B7" i="43"/>
  <c r="B9" i="43"/>
  <c r="C8" i="43"/>
  <c r="C7" i="43"/>
  <c r="C9" i="43"/>
  <c r="C6" i="43"/>
  <c r="C11" i="43" s="1"/>
  <c r="E8" i="43"/>
  <c r="E9" i="43"/>
  <c r="F9" i="43"/>
  <c r="G9" i="43"/>
  <c r="G6" i="43"/>
  <c r="H9" i="43"/>
  <c r="L8" i="43"/>
  <c r="L9" i="43"/>
  <c r="M8" i="43"/>
  <c r="M9" i="43"/>
  <c r="N9" i="43"/>
  <c r="O9" i="43"/>
  <c r="S9" i="43"/>
  <c r="T9" i="43"/>
  <c r="T18" i="43" s="1"/>
  <c r="T6" i="43"/>
  <c r="T11" i="43" s="1"/>
  <c r="T6" i="49" s="1"/>
  <c r="T15" i="49" s="1"/>
  <c r="U8" i="43"/>
  <c r="U6" i="43" s="1"/>
  <c r="U11" i="43" s="1"/>
  <c r="U9" i="43"/>
  <c r="X7" i="43"/>
  <c r="X16" i="43" s="1"/>
  <c r="X9" i="43"/>
  <c r="Q7" i="43"/>
  <c r="B10" i="43"/>
  <c r="C10" i="43"/>
  <c r="Q10" i="43"/>
  <c r="X10" i="43"/>
  <c r="T12" i="43"/>
  <c r="U12" i="43"/>
  <c r="T13" i="43"/>
  <c r="U13" i="43"/>
  <c r="B15" i="43"/>
  <c r="C15" i="43"/>
  <c r="E16" i="43"/>
  <c r="E25" i="43"/>
  <c r="F16" i="43"/>
  <c r="F25" i="43"/>
  <c r="M8" i="61" s="1"/>
  <c r="F18" i="43"/>
  <c r="G16" i="43"/>
  <c r="G25" i="43"/>
  <c r="G18" i="43"/>
  <c r="H16" i="43"/>
  <c r="H25" i="43"/>
  <c r="H18" i="43" s="1"/>
  <c r="J16" i="43"/>
  <c r="L16" i="43"/>
  <c r="M16" i="43"/>
  <c r="M25" i="43"/>
  <c r="M18" i="43" s="1"/>
  <c r="N16" i="43"/>
  <c r="N25" i="43"/>
  <c r="N18" i="43"/>
  <c r="O16" i="43"/>
  <c r="O25" i="43"/>
  <c r="AC8" i="61" s="1"/>
  <c r="S16" i="43"/>
  <c r="S25" i="43"/>
  <c r="X25" i="43" s="1"/>
  <c r="S18" i="43"/>
  <c r="T16" i="43"/>
  <c r="T25" i="43"/>
  <c r="U24" i="43"/>
  <c r="U17" i="43"/>
  <c r="U16" i="43"/>
  <c r="U25" i="43"/>
  <c r="U18" i="43" s="1"/>
  <c r="V16" i="43"/>
  <c r="V18" i="43"/>
  <c r="X23" i="43"/>
  <c r="E19" i="43"/>
  <c r="F19" i="43"/>
  <c r="G19" i="43"/>
  <c r="H19" i="43"/>
  <c r="J19" i="43"/>
  <c r="L19" i="43"/>
  <c r="M19" i="43"/>
  <c r="N19" i="43"/>
  <c r="O19" i="43"/>
  <c r="S19" i="43"/>
  <c r="T19" i="43"/>
  <c r="U19" i="43"/>
  <c r="V19" i="43"/>
  <c r="X26" i="43"/>
  <c r="X19" i="43"/>
  <c r="B20" i="43"/>
  <c r="C20" i="43"/>
  <c r="B22" i="43"/>
  <c r="C22" i="43"/>
  <c r="U22" i="43"/>
  <c r="U27" i="43" s="1"/>
  <c r="U16" i="72" s="1"/>
  <c r="Q23" i="43"/>
  <c r="P24" i="43"/>
  <c r="W24" i="43"/>
  <c r="Q26" i="43"/>
  <c r="AF11" i="61" s="1"/>
  <c r="AF9" i="61" s="1"/>
  <c r="B27" i="43"/>
  <c r="B28" i="43" s="1"/>
  <c r="U28" i="43"/>
  <c r="B29" i="43"/>
  <c r="U29" i="43"/>
  <c r="D7" i="61"/>
  <c r="D8" i="61"/>
  <c r="E7" i="61"/>
  <c r="E8" i="61"/>
  <c r="E6" i="61"/>
  <c r="G7" i="61"/>
  <c r="G8" i="61"/>
  <c r="G6" i="61"/>
  <c r="H7" i="61"/>
  <c r="H8" i="61"/>
  <c r="K8" i="61"/>
  <c r="L7" i="61"/>
  <c r="L8" i="61"/>
  <c r="N7" i="61"/>
  <c r="N8" i="61"/>
  <c r="O8" i="61"/>
  <c r="P8" i="61"/>
  <c r="Q8" i="61"/>
  <c r="V7" i="61"/>
  <c r="W8" i="61"/>
  <c r="X7" i="61"/>
  <c r="X8" i="61"/>
  <c r="X6" i="61"/>
  <c r="Y8" i="61"/>
  <c r="Z7" i="61"/>
  <c r="Z8" i="61"/>
  <c r="Z6" i="61"/>
  <c r="AA8" i="61"/>
  <c r="AB8" i="61"/>
  <c r="AH8" i="61"/>
  <c r="AI8" i="61"/>
  <c r="AJ7" i="61"/>
  <c r="AJ8" i="61"/>
  <c r="AJ6" i="61" s="1"/>
  <c r="AK8" i="61"/>
  <c r="AL7" i="61"/>
  <c r="AL8" i="61"/>
  <c r="AM7" i="61"/>
  <c r="AM8" i="61"/>
  <c r="AN8" i="61"/>
  <c r="AO8" i="61"/>
  <c r="AQ8" i="61"/>
  <c r="D10" i="61"/>
  <c r="D11" i="61"/>
  <c r="D9" i="61" s="1"/>
  <c r="E10" i="61"/>
  <c r="E11" i="61"/>
  <c r="E9" i="61"/>
  <c r="G10" i="61"/>
  <c r="G11" i="61"/>
  <c r="G9" i="61" s="1"/>
  <c r="H10" i="61"/>
  <c r="H11" i="61"/>
  <c r="J10" i="61"/>
  <c r="J11" i="61"/>
  <c r="J9" i="61"/>
  <c r="K10" i="61"/>
  <c r="K11" i="61"/>
  <c r="K9" i="61"/>
  <c r="L10" i="61"/>
  <c r="L9" i="61" s="1"/>
  <c r="L11" i="61"/>
  <c r="M10" i="61"/>
  <c r="M11" i="61"/>
  <c r="M9" i="61"/>
  <c r="N10" i="61"/>
  <c r="N11" i="61"/>
  <c r="N9" i="61"/>
  <c r="O10" i="61"/>
  <c r="O11" i="61"/>
  <c r="O9" i="61"/>
  <c r="P10" i="61"/>
  <c r="P11" i="61"/>
  <c r="P9" i="61" s="1"/>
  <c r="Q10" i="61"/>
  <c r="Q11" i="61"/>
  <c r="S10" i="61"/>
  <c r="S11" i="61"/>
  <c r="S9" i="61"/>
  <c r="T10" i="61"/>
  <c r="T9" i="61" s="1"/>
  <c r="T11" i="61"/>
  <c r="V10" i="61"/>
  <c r="V9" i="61" s="1"/>
  <c r="V11" i="61"/>
  <c r="W10" i="61"/>
  <c r="W11" i="61"/>
  <c r="W9" i="61"/>
  <c r="X10" i="61"/>
  <c r="X11" i="61"/>
  <c r="X9" i="61"/>
  <c r="Y10" i="61"/>
  <c r="Y11" i="61"/>
  <c r="Y9" i="61"/>
  <c r="Z10" i="61"/>
  <c r="Z11" i="61"/>
  <c r="Z9" i="61" s="1"/>
  <c r="AA10" i="61"/>
  <c r="AA9" i="61" s="1"/>
  <c r="AA11" i="61"/>
  <c r="AB10" i="61"/>
  <c r="AB11" i="61"/>
  <c r="AB9" i="61"/>
  <c r="AC10" i="61"/>
  <c r="AC9" i="61" s="1"/>
  <c r="AC11" i="61"/>
  <c r="AE10" i="61"/>
  <c r="AE9" i="61" s="1"/>
  <c r="AE11" i="61"/>
  <c r="AF10" i="61"/>
  <c r="AH10" i="61"/>
  <c r="AH11" i="61"/>
  <c r="AH9" i="61" s="1"/>
  <c r="AI10" i="61"/>
  <c r="AI11" i="61"/>
  <c r="AI9" i="61"/>
  <c r="AJ10" i="61"/>
  <c r="AJ11" i="61"/>
  <c r="AJ9" i="61" s="1"/>
  <c r="AK10" i="61"/>
  <c r="AK11" i="61"/>
  <c r="AL10" i="61"/>
  <c r="AL11" i="61"/>
  <c r="AL9" i="61"/>
  <c r="AM10" i="61"/>
  <c r="AM11" i="61"/>
  <c r="AM9" i="61"/>
  <c r="AN10" i="61"/>
  <c r="AN9" i="61" s="1"/>
  <c r="AN11" i="61"/>
  <c r="AO10" i="61"/>
  <c r="AO11" i="61"/>
  <c r="AO9" i="61"/>
  <c r="AQ11" i="61"/>
  <c r="AR10" i="61"/>
  <c r="AR11" i="61"/>
  <c r="AR9" i="61"/>
  <c r="E12" i="61"/>
  <c r="E17" i="61" s="1"/>
  <c r="G12" i="61"/>
  <c r="AJ12" i="61"/>
  <c r="AL12" i="61"/>
  <c r="AM12" i="61"/>
  <c r="AN15" i="61"/>
  <c r="G17" i="61"/>
  <c r="E18" i="61"/>
  <c r="G18" i="61"/>
  <c r="X18" i="61"/>
  <c r="T20" i="61"/>
  <c r="T21" i="61" s="1"/>
  <c r="AF20" i="61"/>
  <c r="AF21" i="61" s="1"/>
  <c r="AR20" i="61"/>
  <c r="AR21" i="61" s="1"/>
  <c r="H21" i="61"/>
  <c r="W21" i="61"/>
  <c r="Y21" i="61"/>
  <c r="AA21" i="61"/>
  <c r="AC21" i="61"/>
  <c r="AI21" i="61"/>
  <c r="AK21" i="61"/>
  <c r="AM21" i="61"/>
  <c r="AO21" i="61"/>
  <c r="T23" i="61"/>
  <c r="AF23" i="61"/>
  <c r="AR23" i="61"/>
  <c r="AR24" i="61" s="1"/>
  <c r="W24" i="61"/>
  <c r="Y24" i="61"/>
  <c r="AA24" i="61"/>
  <c r="AC24" i="61"/>
  <c r="AI24" i="61"/>
  <c r="AK24" i="61"/>
  <c r="AM24" i="61"/>
  <c r="AO24" i="61"/>
  <c r="D26" i="61"/>
  <c r="E26" i="61"/>
  <c r="G26" i="61"/>
  <c r="H26" i="61"/>
  <c r="H31" i="61" s="1"/>
  <c r="J26" i="61"/>
  <c r="L26" i="61"/>
  <c r="N26" i="61"/>
  <c r="O26" i="61"/>
  <c r="T26" i="61"/>
  <c r="T31" i="61" s="1"/>
  <c r="V26" i="61"/>
  <c r="V31" i="61" s="1"/>
  <c r="X26" i="61"/>
  <c r="Z26" i="61"/>
  <c r="AH26" i="61"/>
  <c r="AJ26" i="61"/>
  <c r="AL26" i="61"/>
  <c r="AM26" i="61"/>
  <c r="AN26" i="61"/>
  <c r="D27" i="61"/>
  <c r="E27" i="61"/>
  <c r="G27" i="61"/>
  <c r="H27" i="61"/>
  <c r="J27" i="61"/>
  <c r="V32" i="61" s="1"/>
  <c r="K27" i="61"/>
  <c r="L27" i="61"/>
  <c r="M27" i="61"/>
  <c r="N27" i="61"/>
  <c r="O27" i="61"/>
  <c r="P27" i="61"/>
  <c r="Q27" i="61"/>
  <c r="AC32" i="61" s="1"/>
  <c r="S27" i="61"/>
  <c r="T27" i="61"/>
  <c r="V27" i="61"/>
  <c r="W27" i="61"/>
  <c r="X27" i="61"/>
  <c r="Y27" i="61"/>
  <c r="Z27" i="61"/>
  <c r="AA27" i="61"/>
  <c r="AB27" i="61"/>
  <c r="AC27" i="61"/>
  <c r="AE27" i="61"/>
  <c r="AF27" i="61"/>
  <c r="AH27" i="61"/>
  <c r="AI27" i="61"/>
  <c r="AI32" i="61" s="1"/>
  <c r="AJ27" i="61"/>
  <c r="AK27" i="61"/>
  <c r="AK32" i="61" s="1"/>
  <c r="AL27" i="61"/>
  <c r="AM27" i="61"/>
  <c r="AN27" i="61"/>
  <c r="AO27" i="61"/>
  <c r="AQ27" i="61"/>
  <c r="AR27" i="61"/>
  <c r="D28" i="61"/>
  <c r="E28" i="61"/>
  <c r="G28" i="61"/>
  <c r="G32" i="61" s="1"/>
  <c r="H28" i="61"/>
  <c r="J28" i="61"/>
  <c r="K28" i="61"/>
  <c r="L28" i="61"/>
  <c r="M28" i="61"/>
  <c r="N28" i="61"/>
  <c r="O28" i="61"/>
  <c r="P28" i="61"/>
  <c r="Q28" i="61"/>
  <c r="V28" i="61"/>
  <c r="W28" i="61"/>
  <c r="X28" i="61"/>
  <c r="Y28" i="61"/>
  <c r="Z28" i="61"/>
  <c r="Z32" i="61" s="1"/>
  <c r="AA28" i="61"/>
  <c r="AC28" i="61"/>
  <c r="AH28" i="61"/>
  <c r="AI28" i="61"/>
  <c r="AJ28" i="61"/>
  <c r="AJ32" i="61" s="1"/>
  <c r="AK28" i="61"/>
  <c r="AL28" i="61"/>
  <c r="AM28" i="61"/>
  <c r="AN28" i="61"/>
  <c r="AO28" i="61"/>
  <c r="AO32" i="61" s="1"/>
  <c r="D29" i="61"/>
  <c r="E29" i="61"/>
  <c r="G29" i="61"/>
  <c r="H29" i="61"/>
  <c r="J29" i="61"/>
  <c r="K29" i="61"/>
  <c r="L29" i="61"/>
  <c r="M29" i="61"/>
  <c r="N29" i="61"/>
  <c r="O29" i="61"/>
  <c r="P29" i="61"/>
  <c r="Q29" i="61"/>
  <c r="S29" i="61"/>
  <c r="T29" i="61"/>
  <c r="V29" i="61"/>
  <c r="W29" i="61"/>
  <c r="X29" i="61"/>
  <c r="Y29" i="61"/>
  <c r="Z29" i="61"/>
  <c r="AA29" i="61"/>
  <c r="AB29" i="61"/>
  <c r="AC29" i="61"/>
  <c r="AE29" i="61"/>
  <c r="AF29" i="61"/>
  <c r="AH29" i="61"/>
  <c r="AI29" i="61"/>
  <c r="AJ29" i="61"/>
  <c r="AK29" i="61"/>
  <c r="AL29" i="61"/>
  <c r="AM29" i="61"/>
  <c r="AN29" i="61"/>
  <c r="AO29" i="61"/>
  <c r="AQ29" i="61"/>
  <c r="G31" i="61"/>
  <c r="X31" i="61"/>
  <c r="Z31" i="61"/>
  <c r="AJ31" i="61"/>
  <c r="AL31" i="61"/>
  <c r="W32" i="61"/>
  <c r="X32" i="61"/>
  <c r="AH32" i="61"/>
  <c r="D35" i="61"/>
  <c r="G35" i="61"/>
  <c r="H35" i="61"/>
  <c r="J35" i="61"/>
  <c r="K35" i="61"/>
  <c r="L35" i="61"/>
  <c r="M35" i="61"/>
  <c r="N35" i="61"/>
  <c r="O35" i="61"/>
  <c r="P35" i="61"/>
  <c r="Q35" i="61"/>
  <c r="S35" i="61"/>
  <c r="T35" i="61"/>
  <c r="V35" i="61"/>
  <c r="W35" i="61"/>
  <c r="X35" i="61"/>
  <c r="Y35" i="61"/>
  <c r="Z35" i="61"/>
  <c r="AA35" i="61"/>
  <c r="AB35" i="61"/>
  <c r="AC35" i="61"/>
  <c r="AE35" i="61"/>
  <c r="AF35" i="61"/>
  <c r="AH35" i="61"/>
  <c r="AI35" i="61"/>
  <c r="AJ35" i="61"/>
  <c r="AK35" i="61"/>
  <c r="AL35" i="61"/>
  <c r="AM35" i="61"/>
  <c r="AN35" i="61"/>
  <c r="AO35" i="61"/>
  <c r="AQ35" i="61"/>
  <c r="D36" i="61"/>
  <c r="E36" i="61"/>
  <c r="G36" i="61"/>
  <c r="H36" i="61"/>
  <c r="J36" i="61"/>
  <c r="K36" i="61"/>
  <c r="L36" i="61"/>
  <c r="M36" i="61"/>
  <c r="N36" i="61"/>
  <c r="O36" i="61"/>
  <c r="P36" i="61"/>
  <c r="Q36" i="61"/>
  <c r="S36" i="61"/>
  <c r="T36" i="61"/>
  <c r="V36" i="61"/>
  <c r="W36" i="61"/>
  <c r="X36" i="61"/>
  <c r="Y36" i="61"/>
  <c r="Z36" i="61"/>
  <c r="AA36" i="61"/>
  <c r="AB36" i="61"/>
  <c r="AC36" i="61"/>
  <c r="AE36" i="61"/>
  <c r="AF36" i="61"/>
  <c r="AH36" i="61"/>
  <c r="AI36" i="61"/>
  <c r="AJ36" i="61"/>
  <c r="AK36" i="61"/>
  <c r="AL36" i="61"/>
  <c r="AM36" i="61"/>
  <c r="AN36" i="61"/>
  <c r="AO36" i="61"/>
  <c r="AQ36" i="61"/>
  <c r="AR36" i="61"/>
  <c r="D37" i="61"/>
  <c r="G37" i="61"/>
  <c r="J37" i="61"/>
  <c r="K37" i="61"/>
  <c r="L37" i="61"/>
  <c r="M37" i="61"/>
  <c r="N37" i="61"/>
  <c r="O37" i="61"/>
  <c r="P37" i="61"/>
  <c r="Q37" i="61"/>
  <c r="S37" i="61"/>
  <c r="V37" i="61"/>
  <c r="X37" i="61"/>
  <c r="Z37" i="61"/>
  <c r="AA37" i="61"/>
  <c r="AB37" i="61"/>
  <c r="AC37" i="61"/>
  <c r="AE37" i="61"/>
  <c r="AH37" i="61"/>
  <c r="AJ37" i="61"/>
  <c r="AL37" i="61"/>
  <c r="AM37" i="61"/>
  <c r="AN37" i="61"/>
  <c r="AO37" i="61"/>
  <c r="AQ37" i="61"/>
  <c r="D38" i="61"/>
  <c r="E38" i="61"/>
  <c r="G38" i="61"/>
  <c r="H38" i="61"/>
  <c r="J38" i="61"/>
  <c r="K38" i="61"/>
  <c r="L38" i="61"/>
  <c r="M38" i="61"/>
  <c r="N38" i="61"/>
  <c r="O38" i="61"/>
  <c r="P38" i="61"/>
  <c r="Q38" i="61"/>
  <c r="S38" i="61"/>
  <c r="T38" i="61"/>
  <c r="V38" i="61"/>
  <c r="W38" i="61"/>
  <c r="X38" i="61"/>
  <c r="Y38" i="61"/>
  <c r="Z38" i="61"/>
  <c r="AA38" i="61"/>
  <c r="AB38" i="61"/>
  <c r="AC38" i="61"/>
  <c r="AE38" i="61"/>
  <c r="AF38" i="61"/>
  <c r="AH38" i="61"/>
  <c r="AI38" i="61"/>
  <c r="AJ38" i="61"/>
  <c r="AK38" i="61"/>
  <c r="AL38" i="61"/>
  <c r="AM38" i="61"/>
  <c r="AN38" i="61"/>
  <c r="AO38" i="61"/>
  <c r="AQ38" i="61"/>
  <c r="AR38" i="61"/>
  <c r="D40" i="61"/>
  <c r="J40" i="61"/>
  <c r="K40" i="61"/>
  <c r="L40" i="61"/>
  <c r="N40" i="61"/>
  <c r="P40" i="61"/>
  <c r="Q40" i="61"/>
  <c r="S40" i="61"/>
  <c r="T40" i="61"/>
  <c r="V40" i="61"/>
  <c r="W40" i="61"/>
  <c r="X40" i="61"/>
  <c r="Y40" i="61"/>
  <c r="AB40" i="61"/>
  <c r="AC40" i="61"/>
  <c r="AE40" i="61"/>
  <c r="AF40" i="61"/>
  <c r="AJ40" i="61"/>
  <c r="D41" i="61"/>
  <c r="E41" i="61"/>
  <c r="G41" i="61"/>
  <c r="H41" i="61"/>
  <c r="J41" i="61"/>
  <c r="K41" i="61"/>
  <c r="L41" i="61"/>
  <c r="M41" i="61"/>
  <c r="N41" i="61"/>
  <c r="O41" i="61"/>
  <c r="P41" i="61"/>
  <c r="Q41" i="61"/>
  <c r="S41" i="61"/>
  <c r="T41" i="61"/>
  <c r="V41" i="61"/>
  <c r="W41" i="61"/>
  <c r="X41" i="61"/>
  <c r="Y41" i="61"/>
  <c r="Z41" i="61"/>
  <c r="AA41" i="61"/>
  <c r="AB41" i="61"/>
  <c r="AC41" i="61"/>
  <c r="AE41" i="61"/>
  <c r="AF41" i="61"/>
  <c r="AH41" i="61"/>
  <c r="AI41" i="61"/>
  <c r="AJ41" i="61"/>
  <c r="AK41" i="61"/>
  <c r="AL41" i="61"/>
  <c r="AM41" i="61"/>
  <c r="AN41" i="61"/>
  <c r="AO41" i="61"/>
  <c r="AQ41" i="61"/>
  <c r="AR41" i="61"/>
  <c r="D42" i="61"/>
  <c r="E42" i="61"/>
  <c r="G42" i="61"/>
  <c r="J42" i="61"/>
  <c r="L42" i="61"/>
  <c r="N42" i="61"/>
  <c r="P42" i="61"/>
  <c r="S42" i="61"/>
  <c r="V42" i="61"/>
  <c r="W42" i="61"/>
  <c r="X42" i="61"/>
  <c r="Z42" i="61"/>
  <c r="AB42" i="61"/>
  <c r="AC42" i="61"/>
  <c r="AE42" i="61"/>
  <c r="AF42" i="61"/>
  <c r="AH42" i="61"/>
  <c r="AJ42" i="61"/>
  <c r="AL42" i="61"/>
  <c r="AN42" i="61"/>
  <c r="AQ42" i="61"/>
  <c r="D43" i="61"/>
  <c r="E43" i="61"/>
  <c r="G43" i="61"/>
  <c r="H43" i="61"/>
  <c r="J43" i="61"/>
  <c r="K43" i="61"/>
  <c r="L43" i="61"/>
  <c r="M43" i="61"/>
  <c r="N43" i="61"/>
  <c r="O43" i="61"/>
  <c r="P43" i="61"/>
  <c r="Q43" i="61"/>
  <c r="S43" i="61"/>
  <c r="T43" i="61"/>
  <c r="V43" i="61"/>
  <c r="W43" i="61"/>
  <c r="X43" i="61"/>
  <c r="Y43" i="61"/>
  <c r="Z43" i="61"/>
  <c r="AA43" i="61"/>
  <c r="AB43" i="61"/>
  <c r="AC43" i="61"/>
  <c r="AE43" i="61"/>
  <c r="AF43" i="61"/>
  <c r="AH43" i="61"/>
  <c r="AI43" i="61"/>
  <c r="AJ43" i="61"/>
  <c r="AK43" i="61"/>
  <c r="AL43" i="61"/>
  <c r="AM43" i="61"/>
  <c r="AN43" i="61"/>
  <c r="AO43" i="61"/>
  <c r="AQ43" i="61"/>
  <c r="AR43" i="61"/>
  <c r="E44" i="61"/>
  <c r="W44" i="61"/>
  <c r="AC44" i="61"/>
  <c r="AF44" i="61"/>
  <c r="E45" i="61"/>
  <c r="H45" i="61"/>
  <c r="K45" i="61"/>
  <c r="M45" i="61"/>
  <c r="O45" i="61"/>
  <c r="Q45" i="61"/>
  <c r="T45" i="61"/>
  <c r="W45" i="61"/>
  <c r="Y45" i="61"/>
  <c r="AA45" i="61"/>
  <c r="AC45" i="61"/>
  <c r="AF45" i="61"/>
  <c r="AI45" i="61"/>
  <c r="AK45" i="61"/>
  <c r="AM45" i="61"/>
  <c r="AO45" i="61"/>
  <c r="AR45" i="61"/>
  <c r="B7" i="78"/>
  <c r="B9" i="78" s="1"/>
  <c r="C7" i="78"/>
  <c r="E7" i="78"/>
  <c r="F7" i="78"/>
  <c r="F9" i="78" s="1"/>
  <c r="G7" i="78"/>
  <c r="G9" i="78" s="1"/>
  <c r="H7" i="78"/>
  <c r="J7" i="78"/>
  <c r="L7" i="78"/>
  <c r="L9" i="78" s="1"/>
  <c r="M7" i="78"/>
  <c r="M9" i="78" s="1"/>
  <c r="N7" i="78"/>
  <c r="O7" i="78"/>
  <c r="Q7" i="78"/>
  <c r="S7" i="78"/>
  <c r="S9" i="78" s="1"/>
  <c r="T7" i="78"/>
  <c r="U7" i="78"/>
  <c r="V7" i="78"/>
  <c r="V9" i="78" s="1"/>
  <c r="X8" i="78"/>
  <c r="C9" i="78"/>
  <c r="E9" i="78"/>
  <c r="H9" i="78"/>
  <c r="J9" i="78"/>
  <c r="N9" i="78"/>
  <c r="O9" i="78"/>
  <c r="Q9" i="78"/>
  <c r="T9" i="78"/>
  <c r="U9" i="78"/>
  <c r="J52" i="78"/>
  <c r="K52" i="78"/>
  <c r="L52" i="78"/>
  <c r="M52" i="78"/>
  <c r="N52" i="78"/>
  <c r="Q52" i="78"/>
  <c r="X52" i="78"/>
  <c r="J55" i="78"/>
  <c r="K55" i="78"/>
  <c r="L55" i="78"/>
  <c r="M55" i="78"/>
  <c r="N55" i="78"/>
  <c r="Q55" i="78"/>
  <c r="X55" i="78"/>
  <c r="B9" i="44"/>
  <c r="C9" i="44"/>
  <c r="D9" i="44"/>
  <c r="E9" i="44"/>
  <c r="F9" i="44"/>
  <c r="G9" i="44"/>
  <c r="G15" i="44" s="1"/>
  <c r="H9" i="44"/>
  <c r="I9" i="44"/>
  <c r="B15" i="44"/>
  <c r="C15" i="44"/>
  <c r="D15" i="44"/>
  <c r="E15" i="44"/>
  <c r="F15" i="44"/>
  <c r="H15" i="44"/>
  <c r="I15" i="44"/>
  <c r="B11" i="64"/>
  <c r="C11" i="64"/>
  <c r="E11" i="64"/>
  <c r="F11" i="64"/>
  <c r="G11" i="64"/>
  <c r="H11" i="64"/>
  <c r="J11" i="64"/>
  <c r="L11" i="64"/>
  <c r="M11" i="64"/>
  <c r="N11" i="64"/>
  <c r="O11" i="64"/>
  <c r="Q11" i="64"/>
  <c r="S11" i="64"/>
  <c r="T11" i="64"/>
  <c r="U11" i="64"/>
  <c r="V11" i="64"/>
  <c r="X11" i="64"/>
  <c r="X7" i="4"/>
  <c r="X8" i="4"/>
  <c r="X9" i="4"/>
  <c r="X10" i="4"/>
  <c r="X11" i="4"/>
  <c r="X12" i="4"/>
  <c r="X13" i="4"/>
  <c r="X14" i="4"/>
  <c r="B15" i="4"/>
  <c r="C15" i="4"/>
  <c r="E15" i="4"/>
  <c r="F15" i="4"/>
  <c r="G15" i="4"/>
  <c r="H15" i="4"/>
  <c r="J15" i="4"/>
  <c r="L15" i="4"/>
  <c r="M15" i="4"/>
  <c r="N15" i="4"/>
  <c r="O15" i="4"/>
  <c r="Q15" i="4"/>
  <c r="S15" i="4"/>
  <c r="T15" i="4"/>
  <c r="U15" i="4"/>
  <c r="V15" i="4"/>
  <c r="X18" i="4"/>
  <c r="J70" i="4"/>
  <c r="J19" i="4"/>
  <c r="L70" i="4"/>
  <c r="L19" i="4" s="1"/>
  <c r="M70" i="4"/>
  <c r="M19" i="4" s="1"/>
  <c r="N70" i="4"/>
  <c r="N19" i="4" s="1"/>
  <c r="X20" i="4"/>
  <c r="B21" i="4"/>
  <c r="C21" i="4"/>
  <c r="E21" i="4"/>
  <c r="F21" i="4"/>
  <c r="G21" i="4"/>
  <c r="H21" i="4"/>
  <c r="J21" i="4"/>
  <c r="L21" i="4"/>
  <c r="M21" i="4"/>
  <c r="N21" i="4"/>
  <c r="O21" i="4"/>
  <c r="Q21" i="4"/>
  <c r="S21" i="4"/>
  <c r="T21" i="4"/>
  <c r="U21" i="4"/>
  <c r="V21" i="4"/>
  <c r="X21" i="4"/>
  <c r="J73" i="4"/>
  <c r="J22" i="4" s="1"/>
  <c r="L73" i="4"/>
  <c r="L22" i="4" s="1"/>
  <c r="M73" i="4"/>
  <c r="M22" i="4" s="1"/>
  <c r="N73" i="4"/>
  <c r="N22" i="4"/>
  <c r="X25" i="4"/>
  <c r="B27" i="4"/>
  <c r="C27" i="4"/>
  <c r="E27" i="4"/>
  <c r="F27" i="4"/>
  <c r="G27" i="4"/>
  <c r="H27" i="4"/>
  <c r="J27" i="4"/>
  <c r="L27" i="4"/>
  <c r="M27" i="4"/>
  <c r="N27" i="4"/>
  <c r="O27" i="4"/>
  <c r="Q27" i="4"/>
  <c r="S27" i="4"/>
  <c r="T27" i="4"/>
  <c r="U27" i="4"/>
  <c r="V27" i="4"/>
  <c r="K70" i="4"/>
  <c r="Q70" i="4"/>
  <c r="X70" i="4"/>
  <c r="K73" i="4"/>
  <c r="Q73" i="4"/>
  <c r="X73" i="4"/>
  <c r="B7" i="40"/>
  <c r="B10" i="40" s="1"/>
  <c r="C7" i="40"/>
  <c r="C10" i="40" s="1"/>
  <c r="E7" i="40"/>
  <c r="E10" i="40" s="1"/>
  <c r="F7" i="40"/>
  <c r="G7" i="40"/>
  <c r="H7" i="40"/>
  <c r="J7" i="40"/>
  <c r="L7" i="40"/>
  <c r="M7" i="40"/>
  <c r="M10" i="40" s="1"/>
  <c r="N7" i="40"/>
  <c r="N10" i="40" s="1"/>
  <c r="O7" i="40"/>
  <c r="O10" i="40" s="1"/>
  <c r="Q7" i="40"/>
  <c r="S7" i="40"/>
  <c r="T7" i="40"/>
  <c r="U7" i="40"/>
  <c r="V7" i="40"/>
  <c r="X7" i="40"/>
  <c r="X10" i="40" s="1"/>
  <c r="B8" i="40"/>
  <c r="B13" i="40" s="1"/>
  <c r="B18" i="40" s="1"/>
  <c r="C8" i="40"/>
  <c r="C13" i="40" s="1"/>
  <c r="E8" i="40"/>
  <c r="F8" i="40"/>
  <c r="G8" i="40"/>
  <c r="H8" i="40"/>
  <c r="J8" i="40"/>
  <c r="L8" i="40"/>
  <c r="L13" i="40" s="1"/>
  <c r="M8" i="40"/>
  <c r="M13" i="40" s="1"/>
  <c r="M18" i="40" s="1"/>
  <c r="N8" i="40"/>
  <c r="N13" i="40" s="1"/>
  <c r="O8" i="40"/>
  <c r="Q8" i="40"/>
  <c r="S8" i="40"/>
  <c r="T8" i="40"/>
  <c r="U8" i="40"/>
  <c r="V8" i="40"/>
  <c r="V13" i="40" s="1"/>
  <c r="X8" i="40"/>
  <c r="X13" i="40" s="1"/>
  <c r="X18" i="40" s="1"/>
  <c r="B9" i="40"/>
  <c r="C9" i="40"/>
  <c r="E9" i="40"/>
  <c r="F9" i="40"/>
  <c r="F10" i="40" s="1"/>
  <c r="G9" i="40"/>
  <c r="H9" i="40"/>
  <c r="H10" i="40" s="1"/>
  <c r="J9" i="40"/>
  <c r="L9" i="40"/>
  <c r="M9" i="40"/>
  <c r="N9" i="40"/>
  <c r="O9" i="40"/>
  <c r="Q9" i="40"/>
  <c r="Q10" i="40" s="1"/>
  <c r="S9" i="40"/>
  <c r="T9" i="40"/>
  <c r="T10" i="40" s="1"/>
  <c r="U9" i="40"/>
  <c r="V9" i="40"/>
  <c r="X9" i="40"/>
  <c r="G10" i="40"/>
  <c r="S10" i="40"/>
  <c r="E13" i="40"/>
  <c r="F13" i="40"/>
  <c r="F18" i="40" s="1"/>
  <c r="G13" i="40"/>
  <c r="G18" i="40" s="1"/>
  <c r="H13" i="40"/>
  <c r="O13" i="40"/>
  <c r="Q13" i="40"/>
  <c r="Q18" i="40" s="1"/>
  <c r="S13" i="40"/>
  <c r="S18" i="40" s="1"/>
  <c r="T13" i="40"/>
  <c r="B14" i="40"/>
  <c r="C14" i="40"/>
  <c r="E14" i="40"/>
  <c r="E18" i="40" s="1"/>
  <c r="F14" i="40"/>
  <c r="G14" i="40"/>
  <c r="H14" i="40"/>
  <c r="J14" i="40"/>
  <c r="L14" i="40"/>
  <c r="M14" i="40"/>
  <c r="N14" i="40"/>
  <c r="O14" i="40"/>
  <c r="O18" i="40" s="1"/>
  <c r="Q14" i="40"/>
  <c r="S14" i="40"/>
  <c r="T14" i="40"/>
  <c r="U14" i="40"/>
  <c r="V14" i="40"/>
  <c r="X14" i="40"/>
  <c r="B15" i="40"/>
  <c r="C15" i="40"/>
  <c r="E15" i="40"/>
  <c r="F15" i="40"/>
  <c r="G15" i="40"/>
  <c r="H15" i="40"/>
  <c r="J15" i="40"/>
  <c r="L15" i="40"/>
  <c r="M15" i="40"/>
  <c r="N15" i="40"/>
  <c r="O15" i="40"/>
  <c r="Q15" i="40"/>
  <c r="S15" i="40"/>
  <c r="T15" i="40"/>
  <c r="U15" i="40"/>
  <c r="V15" i="40"/>
  <c r="X15" i="40"/>
  <c r="B16" i="40"/>
  <c r="C16" i="40"/>
  <c r="E16" i="40"/>
  <c r="F16" i="40"/>
  <c r="G16" i="40"/>
  <c r="H16" i="40"/>
  <c r="J16" i="40"/>
  <c r="L16" i="40"/>
  <c r="M16" i="40"/>
  <c r="N16" i="40"/>
  <c r="O16" i="40"/>
  <c r="Q16" i="40"/>
  <c r="S16" i="40"/>
  <c r="T16" i="40"/>
  <c r="U16" i="40"/>
  <c r="V16" i="40"/>
  <c r="X16" i="40"/>
  <c r="B17" i="40"/>
  <c r="C17" i="40"/>
  <c r="E17" i="40"/>
  <c r="F17" i="40"/>
  <c r="G17" i="40"/>
  <c r="H17" i="40"/>
  <c r="J17" i="40"/>
  <c r="L17" i="40"/>
  <c r="M17" i="40"/>
  <c r="N17" i="40"/>
  <c r="O17" i="40"/>
  <c r="Q17" i="40"/>
  <c r="S17" i="40"/>
  <c r="T17" i="40"/>
  <c r="U17" i="40"/>
  <c r="V17" i="40"/>
  <c r="X17" i="40"/>
  <c r="B23" i="40"/>
  <c r="C23" i="40"/>
  <c r="E23" i="40"/>
  <c r="F23" i="40"/>
  <c r="G23" i="40"/>
  <c r="H23" i="40"/>
  <c r="J23" i="40"/>
  <c r="L23" i="40"/>
  <c r="M23" i="40"/>
  <c r="M26" i="40" s="1"/>
  <c r="N23" i="40"/>
  <c r="O23" i="40"/>
  <c r="Q23" i="40"/>
  <c r="Q26" i="40" s="1"/>
  <c r="S23" i="40"/>
  <c r="T23" i="40"/>
  <c r="T26" i="40" s="1"/>
  <c r="U23" i="40"/>
  <c r="V23" i="40"/>
  <c r="X23" i="40"/>
  <c r="X26" i="40" s="1"/>
  <c r="B24" i="40"/>
  <c r="C24" i="40"/>
  <c r="E24" i="40"/>
  <c r="E26" i="40" s="1"/>
  <c r="F24" i="40"/>
  <c r="G24" i="40"/>
  <c r="H24" i="40"/>
  <c r="H29" i="40" s="1"/>
  <c r="J24" i="40"/>
  <c r="J29" i="40" s="1"/>
  <c r="L24" i="40"/>
  <c r="L29" i="40" s="1"/>
  <c r="M24" i="40"/>
  <c r="N24" i="40"/>
  <c r="O24" i="40"/>
  <c r="O29" i="40" s="1"/>
  <c r="Q24" i="40"/>
  <c r="S24" i="40"/>
  <c r="T24" i="40"/>
  <c r="T29" i="40" s="1"/>
  <c r="U24" i="40"/>
  <c r="U29" i="40" s="1"/>
  <c r="V24" i="40"/>
  <c r="V29" i="40" s="1"/>
  <c r="X24" i="40"/>
  <c r="B25" i="40"/>
  <c r="C25" i="40"/>
  <c r="E25" i="40"/>
  <c r="F25" i="40"/>
  <c r="G25" i="40"/>
  <c r="N10" i="63" s="1"/>
  <c r="H25" i="40"/>
  <c r="J25" i="40"/>
  <c r="L25" i="40"/>
  <c r="M25" i="40"/>
  <c r="N25" i="40"/>
  <c r="O25" i="40"/>
  <c r="Q25" i="40"/>
  <c r="S25" i="40"/>
  <c r="AH10" i="63" s="1"/>
  <c r="T25" i="40"/>
  <c r="U25" i="40"/>
  <c r="V25" i="40"/>
  <c r="X25" i="40"/>
  <c r="B26" i="40"/>
  <c r="F26" i="40"/>
  <c r="H26" i="40"/>
  <c r="O26" i="40"/>
  <c r="B29" i="40"/>
  <c r="C29" i="40"/>
  <c r="E29" i="40"/>
  <c r="F29" i="40"/>
  <c r="G29" i="40"/>
  <c r="M29" i="40"/>
  <c r="N29" i="40"/>
  <c r="Q29" i="40"/>
  <c r="S29" i="40"/>
  <c r="X29" i="40"/>
  <c r="B30" i="40"/>
  <c r="C30" i="40"/>
  <c r="E30" i="40"/>
  <c r="F30" i="40"/>
  <c r="G30" i="40"/>
  <c r="H30" i="40"/>
  <c r="J30" i="40"/>
  <c r="L30" i="40"/>
  <c r="M30" i="40"/>
  <c r="N30" i="40"/>
  <c r="O30" i="40"/>
  <c r="Q30" i="40"/>
  <c r="S30" i="40"/>
  <c r="T30" i="40"/>
  <c r="U30" i="40"/>
  <c r="V30" i="40"/>
  <c r="X30" i="40"/>
  <c r="B31" i="40"/>
  <c r="C31" i="40"/>
  <c r="E31" i="40"/>
  <c r="F31" i="40"/>
  <c r="G31" i="40"/>
  <c r="H31" i="40"/>
  <c r="J31" i="40"/>
  <c r="L31" i="40"/>
  <c r="M31" i="40"/>
  <c r="N31" i="40"/>
  <c r="O31" i="40"/>
  <c r="Q31" i="40"/>
  <c r="S31" i="40"/>
  <c r="T31" i="40"/>
  <c r="U31" i="40"/>
  <c r="V31" i="40"/>
  <c r="X31" i="40"/>
  <c r="B32" i="40"/>
  <c r="C32" i="40"/>
  <c r="E32" i="40"/>
  <c r="F32" i="40"/>
  <c r="G32" i="40"/>
  <c r="H32" i="40"/>
  <c r="J32" i="40"/>
  <c r="L32" i="40"/>
  <c r="M32" i="40"/>
  <c r="N32" i="40"/>
  <c r="O32" i="40"/>
  <c r="Q32" i="40"/>
  <c r="S32" i="40"/>
  <c r="T32" i="40"/>
  <c r="U32" i="40"/>
  <c r="V32" i="40"/>
  <c r="X32" i="40"/>
  <c r="B33" i="40"/>
  <c r="C33" i="40"/>
  <c r="E33" i="40"/>
  <c r="F33" i="40"/>
  <c r="G33" i="40"/>
  <c r="H33" i="40"/>
  <c r="J33" i="40"/>
  <c r="L33" i="40"/>
  <c r="M33" i="40"/>
  <c r="N33" i="40"/>
  <c r="O33" i="40"/>
  <c r="Q33" i="40"/>
  <c r="Q35" i="40" s="1"/>
  <c r="S33" i="40"/>
  <c r="T33" i="40"/>
  <c r="U33" i="40"/>
  <c r="V33" i="40"/>
  <c r="X33" i="40"/>
  <c r="B34" i="40"/>
  <c r="C34" i="40"/>
  <c r="E34" i="40"/>
  <c r="F34" i="40"/>
  <c r="G34" i="40"/>
  <c r="H34" i="40"/>
  <c r="J34" i="40"/>
  <c r="L34" i="40"/>
  <c r="M34" i="40"/>
  <c r="N34" i="40"/>
  <c r="O34" i="40"/>
  <c r="Q34" i="40"/>
  <c r="S34" i="40"/>
  <c r="T34" i="40"/>
  <c r="U34" i="40"/>
  <c r="V34" i="40"/>
  <c r="X34" i="40"/>
  <c r="F35" i="40"/>
  <c r="B6" i="52"/>
  <c r="D15" i="63" s="1"/>
  <c r="C6" i="52"/>
  <c r="E6" i="52"/>
  <c r="J15" i="63" s="1"/>
  <c r="F6" i="52"/>
  <c r="G6" i="52"/>
  <c r="H6" i="52"/>
  <c r="J6" i="52"/>
  <c r="L6" i="52"/>
  <c r="M6" i="52"/>
  <c r="X15" i="63" s="1"/>
  <c r="N6" i="52"/>
  <c r="O6" i="52"/>
  <c r="AB15" i="63" s="1"/>
  <c r="Q6" i="52"/>
  <c r="S6" i="52"/>
  <c r="T6" i="52"/>
  <c r="U6" i="52"/>
  <c r="V6" i="52"/>
  <c r="X6" i="52"/>
  <c r="AQ15" i="63" s="1"/>
  <c r="B9" i="52"/>
  <c r="C9" i="52"/>
  <c r="E9" i="52"/>
  <c r="F9" i="52"/>
  <c r="G9" i="52"/>
  <c r="H9" i="52"/>
  <c r="J9" i="52"/>
  <c r="L9" i="52"/>
  <c r="M9" i="52"/>
  <c r="N9" i="52"/>
  <c r="O9" i="52"/>
  <c r="Q9" i="52"/>
  <c r="B10" i="52"/>
  <c r="C10" i="52"/>
  <c r="E10" i="52"/>
  <c r="F10" i="52"/>
  <c r="G10" i="52"/>
  <c r="H10" i="52"/>
  <c r="J10" i="52"/>
  <c r="L10" i="52"/>
  <c r="M10" i="52"/>
  <c r="N10" i="52"/>
  <c r="O10" i="52"/>
  <c r="Q10" i="52"/>
  <c r="Q18" i="52" s="1"/>
  <c r="Q20" i="52" s="1"/>
  <c r="AF17" i="63" s="1"/>
  <c r="S10" i="52"/>
  <c r="T10" i="52"/>
  <c r="U10" i="52"/>
  <c r="V10" i="52"/>
  <c r="B11" i="52"/>
  <c r="C11" i="52"/>
  <c r="E11" i="52"/>
  <c r="F11" i="52"/>
  <c r="G11" i="52"/>
  <c r="H11" i="52"/>
  <c r="J11" i="52"/>
  <c r="L11" i="52"/>
  <c r="M11" i="52"/>
  <c r="N11" i="52"/>
  <c r="O11" i="52"/>
  <c r="AB8" i="63" s="1"/>
  <c r="Q11" i="52"/>
  <c r="S11" i="52"/>
  <c r="T11" i="52"/>
  <c r="U11" i="52"/>
  <c r="V11" i="52"/>
  <c r="X11" i="52"/>
  <c r="F12" i="52"/>
  <c r="G12" i="52"/>
  <c r="N12" i="52"/>
  <c r="O12" i="52"/>
  <c r="Q12" i="52"/>
  <c r="S12" i="52"/>
  <c r="T12" i="52"/>
  <c r="U12" i="52"/>
  <c r="V12" i="52"/>
  <c r="X12" i="52"/>
  <c r="B13" i="52"/>
  <c r="C13" i="52"/>
  <c r="E13" i="52"/>
  <c r="F13" i="52"/>
  <c r="G13" i="52"/>
  <c r="H13" i="52"/>
  <c r="J13" i="52"/>
  <c r="L13" i="52"/>
  <c r="M13" i="52"/>
  <c r="N13" i="52"/>
  <c r="O13" i="52"/>
  <c r="Q13" i="52"/>
  <c r="S13" i="52"/>
  <c r="T13" i="52"/>
  <c r="U13" i="52"/>
  <c r="V13" i="52"/>
  <c r="B14" i="52"/>
  <c r="C14" i="52"/>
  <c r="E14" i="52"/>
  <c r="F14" i="52"/>
  <c r="G14" i="52"/>
  <c r="H14" i="52"/>
  <c r="J14" i="52"/>
  <c r="L14" i="52"/>
  <c r="M14" i="52"/>
  <c r="N14" i="52"/>
  <c r="O14" i="52"/>
  <c r="Q14" i="52"/>
  <c r="S14" i="52"/>
  <c r="T14" i="52"/>
  <c r="U14" i="52"/>
  <c r="V14" i="52"/>
  <c r="X14" i="52"/>
  <c r="B15" i="52"/>
  <c r="C15" i="52"/>
  <c r="E15" i="52"/>
  <c r="F15" i="52"/>
  <c r="G15" i="52"/>
  <c r="H15" i="52"/>
  <c r="J15" i="52"/>
  <c r="L15" i="52"/>
  <c r="M15" i="52"/>
  <c r="N15" i="52"/>
  <c r="O15" i="52"/>
  <c r="Q15" i="52"/>
  <c r="S15" i="52"/>
  <c r="T15" i="52"/>
  <c r="U15" i="52"/>
  <c r="V15" i="52"/>
  <c r="X15" i="52"/>
  <c r="B16" i="52"/>
  <c r="C16" i="52"/>
  <c r="E16" i="52"/>
  <c r="F16" i="52"/>
  <c r="G16" i="52"/>
  <c r="H16" i="52"/>
  <c r="J16" i="52"/>
  <c r="L16" i="52"/>
  <c r="M16" i="52"/>
  <c r="N16" i="52"/>
  <c r="O16" i="52"/>
  <c r="Q16" i="52"/>
  <c r="S16" i="52"/>
  <c r="T16" i="52"/>
  <c r="U16" i="52"/>
  <c r="V16" i="52"/>
  <c r="X16" i="52"/>
  <c r="B17" i="52"/>
  <c r="C17" i="52"/>
  <c r="E17" i="52"/>
  <c r="F17" i="52"/>
  <c r="G17" i="52"/>
  <c r="H17" i="52"/>
  <c r="L17" i="52"/>
  <c r="O17" i="52"/>
  <c r="Q17" i="52"/>
  <c r="S17" i="52"/>
  <c r="T17" i="52"/>
  <c r="U17" i="52"/>
  <c r="V17" i="52"/>
  <c r="F18" i="52"/>
  <c r="F20" i="52" s="1"/>
  <c r="M17" i="63" s="1"/>
  <c r="B19" i="52"/>
  <c r="C19" i="52"/>
  <c r="E19" i="52"/>
  <c r="F19" i="52"/>
  <c r="G19" i="52"/>
  <c r="H19" i="52"/>
  <c r="J19" i="52"/>
  <c r="L19" i="52"/>
  <c r="M19" i="52"/>
  <c r="N19" i="52"/>
  <c r="O19" i="52"/>
  <c r="Q19" i="52"/>
  <c r="S19" i="52"/>
  <c r="T19" i="52"/>
  <c r="U19" i="52"/>
  <c r="V19" i="52"/>
  <c r="X19" i="52"/>
  <c r="B7" i="74"/>
  <c r="E7" i="74"/>
  <c r="F7" i="74"/>
  <c r="G7" i="74"/>
  <c r="H7" i="74"/>
  <c r="C8" i="74"/>
  <c r="O8" i="74"/>
  <c r="T8" i="74"/>
  <c r="B9" i="74"/>
  <c r="C9" i="74"/>
  <c r="E9" i="74"/>
  <c r="F9" i="74"/>
  <c r="F12" i="74" s="1"/>
  <c r="G9" i="74"/>
  <c r="G12" i="74" s="1"/>
  <c r="H9" i="74"/>
  <c r="J9" i="74"/>
  <c r="L9" i="74"/>
  <c r="M9" i="74"/>
  <c r="N9" i="74"/>
  <c r="O9" i="74"/>
  <c r="Q9" i="74"/>
  <c r="S9" i="74"/>
  <c r="T9" i="74"/>
  <c r="U9" i="74"/>
  <c r="V9" i="74"/>
  <c r="X9" i="74"/>
  <c r="E12" i="74"/>
  <c r="H12" i="74"/>
  <c r="B15" i="74"/>
  <c r="E15" i="74"/>
  <c r="E20" i="74" s="1"/>
  <c r="F15" i="74"/>
  <c r="G15" i="74"/>
  <c r="H15" i="74"/>
  <c r="U16" i="74"/>
  <c r="B17" i="74"/>
  <c r="C17" i="74"/>
  <c r="E17" i="74"/>
  <c r="F17" i="74"/>
  <c r="G17" i="74"/>
  <c r="H17" i="74"/>
  <c r="H20" i="74" s="1"/>
  <c r="J17" i="74"/>
  <c r="L17" i="74"/>
  <c r="M17" i="74"/>
  <c r="N17" i="74"/>
  <c r="O17" i="74"/>
  <c r="Q17" i="74"/>
  <c r="S17" i="74"/>
  <c r="T17" i="74"/>
  <c r="U17" i="74"/>
  <c r="V17" i="74"/>
  <c r="X17" i="74"/>
  <c r="F20" i="74"/>
  <c r="G20" i="74"/>
  <c r="B6" i="53"/>
  <c r="C6" i="53"/>
  <c r="E6" i="53"/>
  <c r="F6" i="53"/>
  <c r="G6" i="53"/>
  <c r="H6" i="53"/>
  <c r="J6" i="53"/>
  <c r="L6" i="53"/>
  <c r="M6" i="53"/>
  <c r="N6" i="53"/>
  <c r="O6" i="53"/>
  <c r="Q6" i="53"/>
  <c r="T6" i="53"/>
  <c r="B8" i="53"/>
  <c r="C8" i="53"/>
  <c r="E8" i="53"/>
  <c r="F8" i="53"/>
  <c r="F13" i="53" s="1"/>
  <c r="F15" i="53" s="1"/>
  <c r="L13" i="63" s="1"/>
  <c r="G8" i="53"/>
  <c r="H8" i="53"/>
  <c r="J8" i="53"/>
  <c r="L8" i="53"/>
  <c r="M8" i="53"/>
  <c r="N8" i="53"/>
  <c r="O8" i="53"/>
  <c r="Q8" i="53"/>
  <c r="S8" i="53"/>
  <c r="T8" i="53"/>
  <c r="U8" i="53"/>
  <c r="V8" i="53"/>
  <c r="X8" i="53"/>
  <c r="B9" i="53"/>
  <c r="C9" i="53"/>
  <c r="C13" i="53" s="1"/>
  <c r="E9" i="53"/>
  <c r="F9" i="53"/>
  <c r="G9" i="53"/>
  <c r="H9" i="53"/>
  <c r="J9" i="53"/>
  <c r="L9" i="53"/>
  <c r="M9" i="53"/>
  <c r="N9" i="53"/>
  <c r="O9" i="53"/>
  <c r="Q9" i="53"/>
  <c r="S9" i="53"/>
  <c r="T9" i="53"/>
  <c r="U9" i="53"/>
  <c r="V9" i="53"/>
  <c r="X9" i="53"/>
  <c r="B10" i="53"/>
  <c r="C10" i="53"/>
  <c r="G8" i="63" s="1"/>
  <c r="E10" i="53"/>
  <c r="F10" i="53"/>
  <c r="G10" i="53"/>
  <c r="H10" i="53"/>
  <c r="J10" i="53"/>
  <c r="J13" i="53" s="1"/>
  <c r="L10" i="53"/>
  <c r="M10" i="53"/>
  <c r="N10" i="53"/>
  <c r="N13" i="53" s="1"/>
  <c r="O10" i="53"/>
  <c r="Q10" i="53"/>
  <c r="S10" i="53"/>
  <c r="T10" i="53"/>
  <c r="U10" i="53"/>
  <c r="U13" i="53" s="1"/>
  <c r="V10" i="53"/>
  <c r="X10" i="53"/>
  <c r="B11" i="53"/>
  <c r="D8" i="63" s="1"/>
  <c r="D9" i="63" s="1"/>
  <c r="C11" i="53"/>
  <c r="E11" i="53"/>
  <c r="F11" i="53"/>
  <c r="G11" i="53"/>
  <c r="H11" i="53"/>
  <c r="J11" i="53"/>
  <c r="L11" i="53"/>
  <c r="M11" i="53"/>
  <c r="N11" i="53"/>
  <c r="O11" i="53"/>
  <c r="Q11" i="53"/>
  <c r="S11" i="53"/>
  <c r="T11" i="53"/>
  <c r="T13" i="53" s="1"/>
  <c r="T15" i="53" s="1"/>
  <c r="AJ13" i="63" s="1"/>
  <c r="U11" i="53"/>
  <c r="V11" i="53"/>
  <c r="X11" i="53"/>
  <c r="B12" i="53"/>
  <c r="C12" i="53"/>
  <c r="E12" i="53"/>
  <c r="F12" i="53"/>
  <c r="G12" i="53"/>
  <c r="G13" i="53" s="1"/>
  <c r="G15" i="53" s="1"/>
  <c r="N13" i="63" s="1"/>
  <c r="H12" i="53"/>
  <c r="J12" i="53"/>
  <c r="L12" i="53"/>
  <c r="V10" i="63" s="1"/>
  <c r="M12" i="53"/>
  <c r="N12" i="53"/>
  <c r="O12" i="53"/>
  <c r="Q12" i="53"/>
  <c r="S12" i="53"/>
  <c r="T12" i="53"/>
  <c r="U12" i="53"/>
  <c r="V12" i="53"/>
  <c r="AN10" i="63" s="1"/>
  <c r="X12" i="53"/>
  <c r="H13" i="53"/>
  <c r="Q13" i="53"/>
  <c r="Q15" i="53" s="1"/>
  <c r="AE13" i="63" s="1"/>
  <c r="S13" i="53"/>
  <c r="H15" i="53"/>
  <c r="H24" i="53" s="1"/>
  <c r="B17" i="53"/>
  <c r="C17" i="53"/>
  <c r="E17" i="53"/>
  <c r="F17" i="53"/>
  <c r="G17" i="53"/>
  <c r="H17" i="53"/>
  <c r="J17" i="53"/>
  <c r="L17" i="53"/>
  <c r="M17" i="53"/>
  <c r="N17" i="53"/>
  <c r="O17" i="53"/>
  <c r="Q17" i="53"/>
  <c r="B18" i="53"/>
  <c r="C18" i="53"/>
  <c r="E18" i="53"/>
  <c r="F18" i="53"/>
  <c r="G18" i="53"/>
  <c r="H18" i="53"/>
  <c r="J18" i="53"/>
  <c r="L18" i="53"/>
  <c r="M18" i="53"/>
  <c r="N18" i="53"/>
  <c r="O18" i="53"/>
  <c r="Q18" i="53"/>
  <c r="S18" i="53"/>
  <c r="T18" i="53"/>
  <c r="U18" i="53"/>
  <c r="V18" i="53"/>
  <c r="B19" i="53"/>
  <c r="C19" i="53"/>
  <c r="E19" i="53"/>
  <c r="F19" i="53"/>
  <c r="G19" i="53"/>
  <c r="H19" i="53"/>
  <c r="J19" i="53"/>
  <c r="L19" i="53"/>
  <c r="M19" i="53"/>
  <c r="N19" i="53"/>
  <c r="O19" i="53"/>
  <c r="Q19" i="53"/>
  <c r="S19" i="53"/>
  <c r="T19" i="53"/>
  <c r="U19" i="53"/>
  <c r="V19" i="53"/>
  <c r="X19" i="53"/>
  <c r="B20" i="53"/>
  <c r="C20" i="53"/>
  <c r="E20" i="53"/>
  <c r="F20" i="53"/>
  <c r="G20" i="53"/>
  <c r="H20" i="53"/>
  <c r="J20" i="53"/>
  <c r="L20" i="53"/>
  <c r="M20" i="53"/>
  <c r="N20" i="53"/>
  <c r="O20" i="53"/>
  <c r="Q20" i="53"/>
  <c r="S20" i="53"/>
  <c r="T20" i="53"/>
  <c r="U20" i="53"/>
  <c r="V20" i="53"/>
  <c r="X20" i="53"/>
  <c r="B21" i="53"/>
  <c r="C21" i="53"/>
  <c r="E21" i="53"/>
  <c r="F21" i="53"/>
  <c r="G21" i="53"/>
  <c r="H21" i="53"/>
  <c r="J21" i="53"/>
  <c r="L21" i="53"/>
  <c r="M21" i="53"/>
  <c r="N21" i="53"/>
  <c r="O21" i="53"/>
  <c r="Q21" i="53"/>
  <c r="S21" i="53"/>
  <c r="T21" i="53"/>
  <c r="U21" i="53"/>
  <c r="V21" i="53"/>
  <c r="X21" i="53"/>
  <c r="B22" i="53"/>
  <c r="C22" i="53"/>
  <c r="E22" i="53"/>
  <c r="F22" i="53"/>
  <c r="G22" i="53"/>
  <c r="G24" i="53" s="1"/>
  <c r="O13" i="63" s="1"/>
  <c r="H22" i="53"/>
  <c r="J22" i="53"/>
  <c r="L22" i="53"/>
  <c r="M22" i="53"/>
  <c r="N22" i="53"/>
  <c r="O22" i="53"/>
  <c r="Q22" i="53"/>
  <c r="S22" i="53"/>
  <c r="T22" i="53"/>
  <c r="U22" i="53"/>
  <c r="V22" i="53"/>
  <c r="X22" i="53"/>
  <c r="B23" i="53"/>
  <c r="C23" i="53"/>
  <c r="E23" i="53"/>
  <c r="F23" i="53"/>
  <c r="G23" i="53"/>
  <c r="H23" i="53"/>
  <c r="J23" i="53"/>
  <c r="L23" i="53"/>
  <c r="M23" i="53"/>
  <c r="N23" i="53"/>
  <c r="O23" i="53"/>
  <c r="Q23" i="53"/>
  <c r="S23" i="53"/>
  <c r="T23" i="53"/>
  <c r="U23" i="53"/>
  <c r="V23" i="53"/>
  <c r="X23" i="53"/>
  <c r="T6" i="10"/>
  <c r="U6" i="10"/>
  <c r="N7" i="10"/>
  <c r="O7" i="10"/>
  <c r="O12" i="10" s="1"/>
  <c r="Q7" i="10"/>
  <c r="S7" i="10"/>
  <c r="T7" i="10"/>
  <c r="U7" i="10"/>
  <c r="V7" i="10"/>
  <c r="T8" i="10"/>
  <c r="AJ6" i="63" s="1"/>
  <c r="U8" i="10"/>
  <c r="U16" i="10"/>
  <c r="U11" i="10" s="1"/>
  <c r="N17" i="10"/>
  <c r="N12" i="10"/>
  <c r="O17" i="10"/>
  <c r="Q17" i="10"/>
  <c r="S17" i="10"/>
  <c r="S12" i="10"/>
  <c r="T17" i="10"/>
  <c r="T12" i="10"/>
  <c r="U17" i="10"/>
  <c r="U12" i="10" s="1"/>
  <c r="V17" i="10"/>
  <c r="V12" i="10" s="1"/>
  <c r="B13" i="10"/>
  <c r="C13" i="10"/>
  <c r="E13" i="10"/>
  <c r="F13" i="10"/>
  <c r="G13" i="10"/>
  <c r="H13" i="10"/>
  <c r="J13" i="10"/>
  <c r="L13" i="10"/>
  <c r="M13" i="10"/>
  <c r="U18" i="10"/>
  <c r="B16" i="10"/>
  <c r="C16" i="10"/>
  <c r="E16" i="10"/>
  <c r="F16" i="10"/>
  <c r="G16" i="10"/>
  <c r="H16" i="10"/>
  <c r="J16" i="10"/>
  <c r="L16" i="10"/>
  <c r="M16" i="10"/>
  <c r="B17" i="10"/>
  <c r="C17" i="10"/>
  <c r="E17" i="10"/>
  <c r="F17" i="10"/>
  <c r="G17" i="10"/>
  <c r="H17" i="10"/>
  <c r="J17" i="10"/>
  <c r="L17" i="10"/>
  <c r="M17" i="10"/>
  <c r="D6" i="63"/>
  <c r="E6" i="63"/>
  <c r="G6" i="63"/>
  <c r="H6" i="63"/>
  <c r="J6" i="63"/>
  <c r="K6" i="63"/>
  <c r="L6" i="63"/>
  <c r="M6" i="63"/>
  <c r="N6" i="63"/>
  <c r="O6" i="63"/>
  <c r="P6" i="63"/>
  <c r="Q6" i="63"/>
  <c r="S6" i="63"/>
  <c r="T6" i="63"/>
  <c r="V6" i="63"/>
  <c r="W6" i="63"/>
  <c r="X6" i="63"/>
  <c r="Y6" i="63"/>
  <c r="AL6" i="63"/>
  <c r="E8" i="63"/>
  <c r="H8" i="63"/>
  <c r="H11" i="63" s="1"/>
  <c r="J8" i="63"/>
  <c r="K8" i="63"/>
  <c r="M8" i="63"/>
  <c r="N8" i="63"/>
  <c r="O8" i="63"/>
  <c r="P8" i="63"/>
  <c r="Q8" i="63"/>
  <c r="T8" i="63" s="1"/>
  <c r="T9" i="63" s="1"/>
  <c r="S8" i="63"/>
  <c r="W8" i="63"/>
  <c r="Y8" i="63"/>
  <c r="AE8" i="63"/>
  <c r="AE9" i="63" s="1"/>
  <c r="AH8" i="63"/>
  <c r="AR8" i="63"/>
  <c r="AR9" i="63" s="1"/>
  <c r="D10" i="63"/>
  <c r="E9" i="63"/>
  <c r="G10" i="63"/>
  <c r="J10" i="63"/>
  <c r="K9" i="63"/>
  <c r="L10" i="63"/>
  <c r="M9" i="63"/>
  <c r="O9" i="63"/>
  <c r="P10" i="63"/>
  <c r="P11" i="63" s="1"/>
  <c r="P9" i="63"/>
  <c r="Q9" i="63"/>
  <c r="W9" i="63"/>
  <c r="X10" i="63"/>
  <c r="Y9" i="63"/>
  <c r="Z10" i="63"/>
  <c r="AA9" i="63"/>
  <c r="AB10" i="63"/>
  <c r="AC9" i="63"/>
  <c r="AE10" i="63"/>
  <c r="AF9" i="63"/>
  <c r="AI9" i="63"/>
  <c r="AJ10" i="63"/>
  <c r="AK9" i="63"/>
  <c r="AM9" i="63"/>
  <c r="AO9" i="63"/>
  <c r="AR10" i="63"/>
  <c r="E11" i="63"/>
  <c r="K11" i="63"/>
  <c r="M11" i="63"/>
  <c r="O11" i="63"/>
  <c r="T11" i="63"/>
  <c r="W11" i="63"/>
  <c r="Y11" i="63"/>
  <c r="AA11" i="63"/>
  <c r="AC11" i="63"/>
  <c r="AF11" i="63"/>
  <c r="AI11" i="63"/>
  <c r="AK11" i="63"/>
  <c r="AM11" i="63"/>
  <c r="AO11" i="63"/>
  <c r="P13" i="63"/>
  <c r="Q13" i="63"/>
  <c r="D14" i="63"/>
  <c r="E14" i="63"/>
  <c r="G14" i="63"/>
  <c r="H14" i="63"/>
  <c r="J14" i="63"/>
  <c r="K14" i="63"/>
  <c r="L14" i="63"/>
  <c r="M14" i="63"/>
  <c r="N14" i="63"/>
  <c r="O14" i="63"/>
  <c r="P14" i="63"/>
  <c r="Q14" i="63"/>
  <c r="S14" i="63"/>
  <c r="T14" i="63"/>
  <c r="V14" i="63"/>
  <c r="W14" i="63"/>
  <c r="X14" i="63"/>
  <c r="Y14" i="63"/>
  <c r="Z14" i="63"/>
  <c r="AA14" i="63"/>
  <c r="AB14" i="63"/>
  <c r="AC14" i="63"/>
  <c r="AE14" i="63"/>
  <c r="AF14" i="63"/>
  <c r="AH14" i="63"/>
  <c r="AI14" i="63"/>
  <c r="AJ14" i="63"/>
  <c r="AK14" i="63"/>
  <c r="AL14" i="63"/>
  <c r="AM14" i="63"/>
  <c r="AN14" i="63"/>
  <c r="AO14" i="63"/>
  <c r="AQ14" i="63"/>
  <c r="AR14" i="63"/>
  <c r="G15" i="63"/>
  <c r="L15" i="63"/>
  <c r="N15" i="63"/>
  <c r="P15" i="63"/>
  <c r="S15" i="63"/>
  <c r="V15" i="63"/>
  <c r="Z15" i="63"/>
  <c r="AE15" i="63"/>
  <c r="AH15" i="63"/>
  <c r="AJ15" i="63"/>
  <c r="AL15" i="63"/>
  <c r="AN15" i="63"/>
  <c r="D16" i="63"/>
  <c r="E16" i="63"/>
  <c r="G16" i="63"/>
  <c r="H16" i="63"/>
  <c r="J16" i="63"/>
  <c r="K16" i="63"/>
  <c r="L16" i="63"/>
  <c r="M16" i="63"/>
  <c r="N16" i="63"/>
  <c r="O16" i="63"/>
  <c r="P16" i="63"/>
  <c r="Q16" i="63"/>
  <c r="S16" i="63"/>
  <c r="T16" i="63"/>
  <c r="V16" i="63"/>
  <c r="W16" i="63"/>
  <c r="X16" i="63"/>
  <c r="Y16" i="63"/>
  <c r="Z16" i="63"/>
  <c r="AA16" i="63"/>
  <c r="AB16" i="63"/>
  <c r="AC16" i="63"/>
  <c r="AE16" i="63"/>
  <c r="AF16" i="63"/>
  <c r="AH16" i="63"/>
  <c r="AI16" i="63"/>
  <c r="AJ16" i="63"/>
  <c r="AK16" i="63"/>
  <c r="AL16" i="63"/>
  <c r="AM16" i="63"/>
  <c r="AN16" i="63"/>
  <c r="AO16" i="63"/>
  <c r="AQ16" i="63"/>
  <c r="AR16" i="63"/>
  <c r="E18" i="63"/>
  <c r="H18" i="63"/>
  <c r="K18" i="63"/>
  <c r="M18" i="63"/>
  <c r="O18" i="63"/>
  <c r="Q18" i="63"/>
  <c r="T18" i="63"/>
  <c r="W18" i="63"/>
  <c r="Y18" i="63"/>
  <c r="AA18" i="63"/>
  <c r="AC18" i="63"/>
  <c r="AF18" i="63"/>
  <c r="AI18" i="63"/>
  <c r="AK18" i="63"/>
  <c r="AM18" i="63"/>
  <c r="AO18" i="63"/>
  <c r="AR18" i="63"/>
  <c r="AB9" i="63" l="1"/>
  <c r="AB11" i="63"/>
  <c r="AL10" i="63"/>
  <c r="S10" i="63"/>
  <c r="S11" i="63" s="1"/>
  <c r="Q21" i="62"/>
  <c r="H20" i="51"/>
  <c r="Q23" i="62" s="1"/>
  <c r="AE11" i="63"/>
  <c r="X8" i="63"/>
  <c r="X9" i="63" s="1"/>
  <c r="G9" i="63"/>
  <c r="G11" i="63"/>
  <c r="AH11" i="63"/>
  <c r="AH9" i="63"/>
  <c r="N11" i="63"/>
  <c r="N9" i="63"/>
  <c r="AF15" i="63"/>
  <c r="AN11" i="63"/>
  <c r="J9" i="63"/>
  <c r="J11" i="63"/>
  <c r="AN8" i="63"/>
  <c r="AN9" i="63" s="1"/>
  <c r="V8" i="63"/>
  <c r="V9" i="63" s="1"/>
  <c r="N35" i="40"/>
  <c r="M15" i="63"/>
  <c r="V11" i="63"/>
  <c r="S9" i="63"/>
  <c r="Q24" i="53"/>
  <c r="AF13" i="63" s="1"/>
  <c r="F24" i="53"/>
  <c r="M13" i="63" s="1"/>
  <c r="AM6" i="61"/>
  <c r="AM18" i="61"/>
  <c r="AM17" i="61"/>
  <c r="V35" i="40"/>
  <c r="X27" i="4"/>
  <c r="X7" i="78"/>
  <c r="X9" i="78" s="1"/>
  <c r="AM6" i="63"/>
  <c r="U13" i="10"/>
  <c r="O35" i="40"/>
  <c r="X11" i="63"/>
  <c r="D11" i="63"/>
  <c r="L26" i="40"/>
  <c r="L35" i="40" s="1"/>
  <c r="Z8" i="63"/>
  <c r="T35" i="40"/>
  <c r="H35" i="40"/>
  <c r="U26" i="40"/>
  <c r="U35" i="40" s="1"/>
  <c r="J26" i="40"/>
  <c r="J35" i="40" s="1"/>
  <c r="L10" i="40"/>
  <c r="L18" i="40" s="1"/>
  <c r="X15" i="4"/>
  <c r="AA32" i="61"/>
  <c r="H32" i="61"/>
  <c r="C20" i="72"/>
  <c r="C15" i="74"/>
  <c r="C20" i="74" s="1"/>
  <c r="Q11" i="63"/>
  <c r="C15" i="53"/>
  <c r="G13" i="63" s="1"/>
  <c r="V10" i="40"/>
  <c r="V18" i="40" s="1"/>
  <c r="Q12" i="10"/>
  <c r="S26" i="40"/>
  <c r="S35" i="40" s="1"/>
  <c r="G26" i="40"/>
  <c r="G35" i="40" s="1"/>
  <c r="T18" i="40"/>
  <c r="B18" i="72"/>
  <c r="B19" i="72" s="1"/>
  <c r="B16" i="74"/>
  <c r="B18" i="74" s="1"/>
  <c r="G20" i="48"/>
  <c r="O44" i="61" s="1"/>
  <c r="O42" i="61"/>
  <c r="C24" i="53"/>
  <c r="H13" i="63" s="1"/>
  <c r="AK9" i="61"/>
  <c r="AL6" i="61"/>
  <c r="AL17" i="61"/>
  <c r="AL18" i="61"/>
  <c r="N15" i="53"/>
  <c r="Z13" i="63" s="1"/>
  <c r="E35" i="40"/>
  <c r="U10" i="40"/>
  <c r="U13" i="40"/>
  <c r="AR11" i="63"/>
  <c r="H9" i="63"/>
  <c r="V13" i="53"/>
  <c r="L13" i="53"/>
  <c r="X13" i="53"/>
  <c r="M13" i="53"/>
  <c r="M15" i="53" s="1"/>
  <c r="B13" i="53"/>
  <c r="B15" i="53" s="1"/>
  <c r="D13" i="63" s="1"/>
  <c r="L15" i="53"/>
  <c r="B12" i="74"/>
  <c r="AM32" i="61"/>
  <c r="O8" i="43"/>
  <c r="AB26" i="61"/>
  <c r="C24" i="49"/>
  <c r="H40" i="61" s="1"/>
  <c r="G40" i="61"/>
  <c r="N24" i="49"/>
  <c r="AA40" i="61" s="1"/>
  <c r="Z40" i="61"/>
  <c r="V26" i="40"/>
  <c r="O13" i="53"/>
  <c r="O15" i="53" s="1"/>
  <c r="AL8" i="63"/>
  <c r="AL9" i="63" s="1"/>
  <c r="J15" i="53"/>
  <c r="S13" i="63" s="1"/>
  <c r="H18" i="52"/>
  <c r="G18" i="52"/>
  <c r="AB28" i="61"/>
  <c r="O14" i="27"/>
  <c r="Q8" i="27"/>
  <c r="AE28" i="61" s="1"/>
  <c r="N24" i="53"/>
  <c r="AA13" i="63" s="1"/>
  <c r="J10" i="40"/>
  <c r="J13" i="40"/>
  <c r="J18" i="40" s="1"/>
  <c r="AJ8" i="63"/>
  <c r="AJ9" i="63" s="1"/>
  <c r="L8" i="63"/>
  <c r="L9" i="63" s="1"/>
  <c r="B20" i="74"/>
  <c r="B19" i="74" s="1"/>
  <c r="N26" i="40"/>
  <c r="C26" i="40"/>
  <c r="C35" i="40" s="1"/>
  <c r="H6" i="61"/>
  <c r="H18" i="61"/>
  <c r="D6" i="61"/>
  <c r="D18" i="61"/>
  <c r="T22" i="27"/>
  <c r="T12" i="27"/>
  <c r="T16" i="27" s="1"/>
  <c r="AQ32" i="61"/>
  <c r="E13" i="53"/>
  <c r="E15" i="53" s="1"/>
  <c r="O18" i="52"/>
  <c r="X35" i="40"/>
  <c r="M35" i="40"/>
  <c r="B35" i="40"/>
  <c r="H18" i="40"/>
  <c r="N18" i="40"/>
  <c r="C18" i="40"/>
  <c r="Y32" i="61"/>
  <c r="Q9" i="61"/>
  <c r="Z18" i="61"/>
  <c r="T7" i="61"/>
  <c r="X14" i="27"/>
  <c r="F6" i="43"/>
  <c r="F13" i="43"/>
  <c r="V6" i="43"/>
  <c r="AN7" i="61"/>
  <c r="E20" i="48"/>
  <c r="K44" i="61" s="1"/>
  <c r="K42" i="61"/>
  <c r="N18" i="61"/>
  <c r="AH31" i="61"/>
  <c r="AN31" i="61"/>
  <c r="AF24" i="61"/>
  <c r="N6" i="61"/>
  <c r="J9" i="43"/>
  <c r="S8" i="61" s="1"/>
  <c r="J8" i="61"/>
  <c r="B6" i="43"/>
  <c r="B13" i="43"/>
  <c r="F16" i="27"/>
  <c r="F24" i="43"/>
  <c r="M26" i="61"/>
  <c r="Q10" i="27"/>
  <c r="AE26" i="61" s="1"/>
  <c r="J6" i="27"/>
  <c r="J10" i="27" s="1"/>
  <c r="S28" i="61"/>
  <c r="S32" i="61" s="1"/>
  <c r="V6" i="50"/>
  <c r="V15" i="50" s="1"/>
  <c r="AN19" i="62" s="1"/>
  <c r="V8" i="73"/>
  <c r="X8" i="65"/>
  <c r="Q10" i="62"/>
  <c r="H19" i="73"/>
  <c r="J12" i="51"/>
  <c r="J18" i="38"/>
  <c r="T14" i="62" s="1"/>
  <c r="AJ17" i="61"/>
  <c r="AJ18" i="61"/>
  <c r="C27" i="43"/>
  <c r="C29" i="43"/>
  <c r="C28" i="43"/>
  <c r="X18" i="43"/>
  <c r="AR8" i="61"/>
  <c r="U6" i="49"/>
  <c r="U8" i="72"/>
  <c r="E13" i="43"/>
  <c r="E6" i="43"/>
  <c r="J7" i="61"/>
  <c r="M22" i="27"/>
  <c r="M12" i="27"/>
  <c r="AK21" i="62"/>
  <c r="T20" i="51"/>
  <c r="AK23" i="62" s="1"/>
  <c r="L6" i="61"/>
  <c r="L18" i="61"/>
  <c r="V8" i="61"/>
  <c r="Q9" i="43"/>
  <c r="AE8" i="61" s="1"/>
  <c r="L6" i="43"/>
  <c r="L13" i="43" s="1"/>
  <c r="L18" i="43"/>
  <c r="E24" i="43"/>
  <c r="E16" i="27"/>
  <c r="P26" i="61"/>
  <c r="H8" i="43"/>
  <c r="AL32" i="61"/>
  <c r="AB32" i="61"/>
  <c r="AN32" i="61"/>
  <c r="H9" i="61"/>
  <c r="Q25" i="43"/>
  <c r="AF8" i="61" s="1"/>
  <c r="O18" i="43"/>
  <c r="AQ10" i="61"/>
  <c r="AQ9" i="61" s="1"/>
  <c r="S18" i="27"/>
  <c r="L12" i="27"/>
  <c r="L22" i="27"/>
  <c r="E12" i="27"/>
  <c r="F18" i="48"/>
  <c r="J7" i="72"/>
  <c r="H12" i="27"/>
  <c r="H22" i="27"/>
  <c r="AC11" i="62"/>
  <c r="E11" i="73"/>
  <c r="J11" i="62"/>
  <c r="Q16" i="43"/>
  <c r="E18" i="43"/>
  <c r="G11" i="43"/>
  <c r="G12" i="43"/>
  <c r="E14" i="27"/>
  <c r="J20" i="27"/>
  <c r="T28" i="61" s="1"/>
  <c r="T32" i="61" s="1"/>
  <c r="C12" i="48"/>
  <c r="C12" i="52" s="1"/>
  <c r="C18" i="52" s="1"/>
  <c r="AB11" i="62"/>
  <c r="O35" i="38"/>
  <c r="AC16" i="62" s="1"/>
  <c r="AB16" i="62"/>
  <c r="J25" i="43"/>
  <c r="X20" i="27"/>
  <c r="AR28" i="61" s="1"/>
  <c r="AR32" i="61" s="1"/>
  <c r="Q14" i="27"/>
  <c r="V12" i="27"/>
  <c r="V16" i="27" s="1"/>
  <c r="V22" i="27"/>
  <c r="O12" i="27"/>
  <c r="O16" i="27" s="1"/>
  <c r="G12" i="27"/>
  <c r="S8" i="43"/>
  <c r="X10" i="27"/>
  <c r="AQ26" i="61" s="1"/>
  <c r="AQ31" i="61" s="1"/>
  <c r="L10" i="73"/>
  <c r="V10" i="62" s="1"/>
  <c r="L12" i="73"/>
  <c r="S24" i="50"/>
  <c r="AI19" i="62" s="1"/>
  <c r="AI12" i="62" s="1"/>
  <c r="M24" i="50"/>
  <c r="Y19" i="62" s="1"/>
  <c r="Y12" i="62" s="1"/>
  <c r="X19" i="62"/>
  <c r="U15" i="43"/>
  <c r="U20" i="43" s="1"/>
  <c r="G13" i="43"/>
  <c r="M6" i="43"/>
  <c r="U12" i="27"/>
  <c r="U16" i="27" s="1"/>
  <c r="N18" i="27"/>
  <c r="Q20" i="27"/>
  <c r="AF28" i="61" s="1"/>
  <c r="G24" i="43"/>
  <c r="G16" i="27"/>
  <c r="AK10" i="62"/>
  <c r="T19" i="73"/>
  <c r="M19" i="73"/>
  <c r="Y11" i="62"/>
  <c r="U11" i="73"/>
  <c r="AL11" i="62"/>
  <c r="B24" i="50"/>
  <c r="E19" i="62" s="1"/>
  <c r="H12" i="62" s="1"/>
  <c r="Q19" i="43"/>
  <c r="O22" i="27"/>
  <c r="N13" i="43"/>
  <c r="N6" i="43"/>
  <c r="Q6" i="27"/>
  <c r="X10" i="48"/>
  <c r="X10" i="52" s="1"/>
  <c r="X16" i="65"/>
  <c r="U12" i="65"/>
  <c r="C8" i="65"/>
  <c r="L18" i="73"/>
  <c r="W10" i="62" s="1"/>
  <c r="L20" i="73"/>
  <c r="AJ11" i="62"/>
  <c r="T11" i="73"/>
  <c r="X18" i="49"/>
  <c r="M17" i="48"/>
  <c r="M17" i="52" s="1"/>
  <c r="M35" i="39"/>
  <c r="Y37" i="61" s="1"/>
  <c r="B35" i="39"/>
  <c r="E37" i="61" s="1"/>
  <c r="H12" i="48"/>
  <c r="H12" i="52" s="1"/>
  <c r="S9" i="51"/>
  <c r="X29" i="38"/>
  <c r="X35" i="38" s="1"/>
  <c r="AR16" i="62" s="1"/>
  <c r="B35" i="38"/>
  <c r="E16" i="62" s="1"/>
  <c r="J17" i="51"/>
  <c r="J17" i="52" s="1"/>
  <c r="G18" i="51"/>
  <c r="L35" i="39"/>
  <c r="W37" i="61" s="1"/>
  <c r="J12" i="48"/>
  <c r="X17" i="48"/>
  <c r="X17" i="52" s="1"/>
  <c r="X13" i="48"/>
  <c r="X13" i="52" s="1"/>
  <c r="Q16" i="73"/>
  <c r="Q12" i="65"/>
  <c r="AH12" i="62"/>
  <c r="C18" i="73"/>
  <c r="H10" i="62" s="1"/>
  <c r="C20" i="73"/>
  <c r="C12" i="73"/>
  <c r="H24" i="50"/>
  <c r="Q19" i="62" s="1"/>
  <c r="P19" i="62"/>
  <c r="L12" i="51"/>
  <c r="F18" i="51"/>
  <c r="C13" i="43"/>
  <c r="F12" i="27"/>
  <c r="J35" i="39"/>
  <c r="T37" i="61" s="1"/>
  <c r="N18" i="48"/>
  <c r="J11" i="73"/>
  <c r="T24" i="50"/>
  <c r="AK19" i="62" s="1"/>
  <c r="AK12" i="62" s="1"/>
  <c r="N19" i="62"/>
  <c r="Z12" i="62" s="1"/>
  <c r="G24" i="50"/>
  <c r="O19" i="62" s="1"/>
  <c r="AA12" i="62" s="1"/>
  <c r="X18" i="38"/>
  <c r="AR14" i="62" s="1"/>
  <c r="N18" i="38"/>
  <c r="AA14" i="62" s="1"/>
  <c r="Z14" i="62"/>
  <c r="B12" i="51"/>
  <c r="C12" i="43"/>
  <c r="Q8" i="43"/>
  <c r="X35" i="39"/>
  <c r="AR37" i="61" s="1"/>
  <c r="V12" i="65"/>
  <c r="O18" i="73"/>
  <c r="AC10" i="62" s="1"/>
  <c r="V15" i="73"/>
  <c r="V20" i="73" s="1"/>
  <c r="O10" i="73"/>
  <c r="AB10" i="62" s="1"/>
  <c r="V7" i="73"/>
  <c r="G19" i="73"/>
  <c r="H11" i="73"/>
  <c r="X12" i="73"/>
  <c r="X18" i="50"/>
  <c r="M12" i="51"/>
  <c r="M18" i="38"/>
  <c r="Y14" i="62" s="1"/>
  <c r="V16" i="73"/>
  <c r="V18" i="73" s="1"/>
  <c r="AO10" i="62" s="1"/>
  <c r="O24" i="50"/>
  <c r="AC19" i="62" s="1"/>
  <c r="AC12" i="62" s="1"/>
  <c r="AB19" i="62"/>
  <c r="AB12" i="62" s="1"/>
  <c r="X6" i="50"/>
  <c r="X15" i="50" s="1"/>
  <c r="AQ19" i="62" s="1"/>
  <c r="AQ12" i="62" s="1"/>
  <c r="AN14" i="62"/>
  <c r="V18" i="38"/>
  <c r="AO14" i="62" s="1"/>
  <c r="E12" i="51"/>
  <c r="AE11" i="62"/>
  <c r="L11" i="62"/>
  <c r="N17" i="51"/>
  <c r="C12" i="51"/>
  <c r="C18" i="51" s="1"/>
  <c r="S16" i="73"/>
  <c r="S18" i="73" s="1"/>
  <c r="AI10" i="62" s="1"/>
  <c r="S8" i="73"/>
  <c r="S10" i="73" s="1"/>
  <c r="AH10" i="62" s="1"/>
  <c r="B18" i="39"/>
  <c r="E35" i="61" s="1"/>
  <c r="M12" i="73"/>
  <c r="J13" i="63" l="1"/>
  <c r="E24" i="53"/>
  <c r="K13" i="63" s="1"/>
  <c r="AB13" i="63"/>
  <c r="O24" i="53"/>
  <c r="AC13" i="63" s="1"/>
  <c r="H15" i="63"/>
  <c r="C20" i="52"/>
  <c r="H17" i="63" s="1"/>
  <c r="M11" i="43"/>
  <c r="AE7" i="61"/>
  <c r="F20" i="51"/>
  <c r="M23" i="62" s="1"/>
  <c r="M21" i="62"/>
  <c r="X16" i="73"/>
  <c r="X18" i="73" s="1"/>
  <c r="AR10" i="62" s="1"/>
  <c r="X17" i="10"/>
  <c r="G17" i="43"/>
  <c r="G15" i="43" s="1"/>
  <c r="G20" i="43" s="1"/>
  <c r="O7" i="61"/>
  <c r="G22" i="43"/>
  <c r="U17" i="49"/>
  <c r="U9" i="48"/>
  <c r="S6" i="43"/>
  <c r="X8" i="43"/>
  <c r="AH7" i="61"/>
  <c r="J18" i="43"/>
  <c r="T8" i="61"/>
  <c r="T18" i="61" s="1"/>
  <c r="M18" i="48"/>
  <c r="H6" i="43"/>
  <c r="P7" i="61"/>
  <c r="J6" i="61"/>
  <c r="J18" i="61"/>
  <c r="X8" i="73"/>
  <c r="X10" i="73" s="1"/>
  <c r="AQ10" i="62" s="1"/>
  <c r="X7" i="10"/>
  <c r="V11" i="43"/>
  <c r="V12" i="43" s="1"/>
  <c r="U18" i="40"/>
  <c r="AQ11" i="62"/>
  <c r="F17" i="43"/>
  <c r="F15" i="43" s="1"/>
  <c r="F20" i="43" s="1"/>
  <c r="F22" i="43"/>
  <c r="M7" i="61"/>
  <c r="F29" i="43"/>
  <c r="AJ11" i="63"/>
  <c r="C20" i="51"/>
  <c r="H23" i="62" s="1"/>
  <c r="H21" i="62"/>
  <c r="L18" i="51"/>
  <c r="L12" i="52"/>
  <c r="L18" i="52" s="1"/>
  <c r="X18" i="53"/>
  <c r="C18" i="48"/>
  <c r="AF32" i="61"/>
  <c r="X12" i="62"/>
  <c r="AJ12" i="62"/>
  <c r="O19" i="73"/>
  <c r="F20" i="48"/>
  <c r="M44" i="61" s="1"/>
  <c r="M42" i="61"/>
  <c r="E11" i="43"/>
  <c r="E12" i="43"/>
  <c r="C16" i="72"/>
  <c r="H12" i="61"/>
  <c r="H17" i="61" s="1"/>
  <c r="V10" i="73"/>
  <c r="AN10" i="62" s="1"/>
  <c r="V13" i="43"/>
  <c r="T24" i="43"/>
  <c r="AK26" i="61"/>
  <c r="AB31" i="61"/>
  <c r="X13" i="63"/>
  <c r="M24" i="53"/>
  <c r="Y13" i="63" s="1"/>
  <c r="Z9" i="63"/>
  <c r="Z11" i="63"/>
  <c r="H11" i="62"/>
  <c r="C19" i="73"/>
  <c r="U17" i="50"/>
  <c r="U9" i="51"/>
  <c r="U18" i="51" s="1"/>
  <c r="AN18" i="61"/>
  <c r="AN6" i="61"/>
  <c r="N18" i="51"/>
  <c r="N17" i="52"/>
  <c r="N18" i="52" s="1"/>
  <c r="V12" i="73"/>
  <c r="V7" i="74"/>
  <c r="V12" i="74" s="1"/>
  <c r="B18" i="51"/>
  <c r="B12" i="52"/>
  <c r="B18" i="52" s="1"/>
  <c r="S19" i="73"/>
  <c r="X15" i="73"/>
  <c r="X20" i="73" s="1"/>
  <c r="Q18" i="73"/>
  <c r="N12" i="27"/>
  <c r="N16" i="27" s="1"/>
  <c r="Q16" i="27" s="1"/>
  <c r="N22" i="27"/>
  <c r="Q18" i="27"/>
  <c r="H16" i="27"/>
  <c r="H24" i="43"/>
  <c r="Q26" i="61"/>
  <c r="AN12" i="62"/>
  <c r="B11" i="43"/>
  <c r="AE32" i="61"/>
  <c r="AB7" i="61"/>
  <c r="O6" i="43"/>
  <c r="O13" i="43" s="1"/>
  <c r="AL11" i="63"/>
  <c r="H18" i="48"/>
  <c r="X12" i="65"/>
  <c r="V24" i="43"/>
  <c r="AO26" i="61"/>
  <c r="N12" i="61"/>
  <c r="N17" i="61" s="1"/>
  <c r="G8" i="72"/>
  <c r="L24" i="43"/>
  <c r="W26" i="61"/>
  <c r="W31" i="61" s="1"/>
  <c r="Q22" i="27"/>
  <c r="AF26" i="61" s="1"/>
  <c r="AF31" i="61" s="1"/>
  <c r="E22" i="43"/>
  <c r="E17" i="43"/>
  <c r="E15" i="43" s="1"/>
  <c r="E20" i="43" s="1"/>
  <c r="E29" i="43"/>
  <c r="K7" i="61"/>
  <c r="U8" i="74"/>
  <c r="F11" i="43"/>
  <c r="V17" i="50"/>
  <c r="V24" i="50" s="1"/>
  <c r="AO19" i="62" s="1"/>
  <c r="AO12" i="62" s="1"/>
  <c r="V9" i="51"/>
  <c r="V18" i="51" s="1"/>
  <c r="S11" i="73"/>
  <c r="V19" i="73"/>
  <c r="AO11" i="62"/>
  <c r="AA42" i="61"/>
  <c r="N20" i="48"/>
  <c r="AA44" i="61" s="1"/>
  <c r="S18" i="51"/>
  <c r="L19" i="73"/>
  <c r="W11" i="62"/>
  <c r="N11" i="43"/>
  <c r="N12" i="43" s="1"/>
  <c r="Q12" i="27"/>
  <c r="Q18" i="43"/>
  <c r="U15" i="49"/>
  <c r="AL40" i="61" s="1"/>
  <c r="U6" i="53"/>
  <c r="U15" i="53" s="1"/>
  <c r="AL13" i="63" s="1"/>
  <c r="J8" i="43"/>
  <c r="S26" i="61"/>
  <c r="S31" i="61" s="1"/>
  <c r="L11" i="63"/>
  <c r="O24" i="43"/>
  <c r="AC26" i="61"/>
  <c r="AC31" i="61" s="1"/>
  <c r="H20" i="52"/>
  <c r="Q17" i="63" s="1"/>
  <c r="Q15" i="63"/>
  <c r="G20" i="51"/>
  <c r="O23" i="62" s="1"/>
  <c r="O21" i="62"/>
  <c r="V18" i="61"/>
  <c r="V6" i="61"/>
  <c r="L24" i="53"/>
  <c r="W13" i="63" s="1"/>
  <c r="V13" i="63"/>
  <c r="X11" i="62"/>
  <c r="M11" i="73"/>
  <c r="E18" i="51"/>
  <c r="E12" i="52"/>
  <c r="E18" i="52" s="1"/>
  <c r="M18" i="51"/>
  <c r="M12" i="52"/>
  <c r="M18" i="52" s="1"/>
  <c r="G11" i="62"/>
  <c r="C11" i="73"/>
  <c r="J18" i="48"/>
  <c r="J12" i="52"/>
  <c r="J18" i="52" s="1"/>
  <c r="M13" i="43"/>
  <c r="L11" i="73"/>
  <c r="V11" i="62"/>
  <c r="O11" i="73"/>
  <c r="J12" i="72"/>
  <c r="J7" i="74"/>
  <c r="J12" i="74" s="1"/>
  <c r="S12" i="27"/>
  <c r="X18" i="27"/>
  <c r="S22" i="27"/>
  <c r="L11" i="43"/>
  <c r="Y26" i="61"/>
  <c r="Y31" i="61" s="1"/>
  <c r="M24" i="43"/>
  <c r="J18" i="51"/>
  <c r="AE31" i="61"/>
  <c r="J22" i="43"/>
  <c r="O20" i="52"/>
  <c r="AC17" i="63" s="1"/>
  <c r="AC15" i="63"/>
  <c r="G20" i="52"/>
  <c r="O17" i="63" s="1"/>
  <c r="O15" i="63"/>
  <c r="J24" i="53"/>
  <c r="T13" i="63" s="1"/>
  <c r="B24" i="53"/>
  <c r="E13" i="63" s="1"/>
  <c r="AQ10" i="63"/>
  <c r="AQ8" i="63"/>
  <c r="AQ9" i="63" s="1"/>
  <c r="L8" i="72" l="1"/>
  <c r="V12" i="61"/>
  <c r="V17" i="61" s="1"/>
  <c r="H11" i="43"/>
  <c r="H12" i="43" s="1"/>
  <c r="L12" i="43"/>
  <c r="M20" i="51"/>
  <c r="Y23" i="62" s="1"/>
  <c r="Y21" i="62"/>
  <c r="G10" i="72"/>
  <c r="G11" i="72" s="1"/>
  <c r="N7" i="72"/>
  <c r="G8" i="74"/>
  <c r="G10" i="74" s="1"/>
  <c r="G11" i="74" s="1"/>
  <c r="AB6" i="61"/>
  <c r="AB18" i="61"/>
  <c r="B20" i="51"/>
  <c r="E23" i="62" s="1"/>
  <c r="E21" i="62"/>
  <c r="U20" i="51"/>
  <c r="AM23" i="62" s="1"/>
  <c r="AM21" i="62"/>
  <c r="C20" i="48"/>
  <c r="H44" i="61" s="1"/>
  <c r="H42" i="61"/>
  <c r="M6" i="61"/>
  <c r="M18" i="61"/>
  <c r="M20" i="48"/>
  <c r="Y44" i="61" s="1"/>
  <c r="Y42" i="61"/>
  <c r="U24" i="49"/>
  <c r="AM40" i="61" s="1"/>
  <c r="U17" i="53"/>
  <c r="U24" i="53" s="1"/>
  <c r="AM13" i="63" s="1"/>
  <c r="P6" i="61"/>
  <c r="P18" i="61"/>
  <c r="AQ11" i="63"/>
  <c r="J27" i="43"/>
  <c r="J28" i="43"/>
  <c r="Q6" i="43"/>
  <c r="E20" i="52"/>
  <c r="K17" i="63" s="1"/>
  <c r="K15" i="63"/>
  <c r="N8" i="72"/>
  <c r="Z12" i="61"/>
  <c r="Z17" i="61" s="1"/>
  <c r="N6" i="10"/>
  <c r="N8" i="10" s="1"/>
  <c r="Z6" i="63" s="1"/>
  <c r="K18" i="61"/>
  <c r="K6" i="61"/>
  <c r="U24" i="50"/>
  <c r="AM19" i="62" s="1"/>
  <c r="AM12" i="62" s="1"/>
  <c r="X17" i="50"/>
  <c r="X24" i="50" s="1"/>
  <c r="AR19" i="62" s="1"/>
  <c r="AR12" i="62" s="1"/>
  <c r="E8" i="72"/>
  <c r="J12" i="61"/>
  <c r="J17" i="61" s="1"/>
  <c r="F27" i="43"/>
  <c r="F28" i="43"/>
  <c r="G27" i="43"/>
  <c r="AE18" i="61"/>
  <c r="AE6" i="61"/>
  <c r="S11" i="43"/>
  <c r="S12" i="43" s="1"/>
  <c r="O17" i="43"/>
  <c r="O15" i="43" s="1"/>
  <c r="O20" i="43" s="1"/>
  <c r="AC7" i="61"/>
  <c r="O22" i="43"/>
  <c r="B20" i="52"/>
  <c r="E17" i="63" s="1"/>
  <c r="E15" i="63"/>
  <c r="U18" i="48"/>
  <c r="U9" i="52"/>
  <c r="U18" i="52" s="1"/>
  <c r="J29" i="43"/>
  <c r="S24" i="43"/>
  <c r="X22" i="27"/>
  <c r="AR26" i="61" s="1"/>
  <c r="AR31" i="61" s="1"/>
  <c r="AI26" i="61"/>
  <c r="AI31" i="61" s="1"/>
  <c r="E20" i="51"/>
  <c r="K23" i="62" s="1"/>
  <c r="K21" i="62"/>
  <c r="AO31" i="61"/>
  <c r="N24" i="43"/>
  <c r="AA26" i="61"/>
  <c r="V11" i="73"/>
  <c r="AN11" i="62"/>
  <c r="AK31" i="61"/>
  <c r="L20" i="52"/>
  <c r="W17" i="63" s="1"/>
  <c r="W15" i="63"/>
  <c r="O18" i="61"/>
  <c r="O6" i="61"/>
  <c r="M8" i="72"/>
  <c r="X12" i="61"/>
  <c r="X17" i="61" s="1"/>
  <c r="L17" i="43"/>
  <c r="L22" i="43"/>
  <c r="L29" i="43" s="1"/>
  <c r="Q24" i="43"/>
  <c r="W7" i="61"/>
  <c r="H22" i="43"/>
  <c r="Q7" i="61"/>
  <c r="H17" i="43"/>
  <c r="H15" i="43" s="1"/>
  <c r="H20" i="43" s="1"/>
  <c r="H29" i="43"/>
  <c r="J15" i="72"/>
  <c r="C18" i="72"/>
  <c r="C19" i="72" s="1"/>
  <c r="C16" i="74"/>
  <c r="C18" i="74" s="1"/>
  <c r="C19" i="74" s="1"/>
  <c r="J20" i="52"/>
  <c r="T17" i="63" s="1"/>
  <c r="T15" i="63"/>
  <c r="J6" i="43"/>
  <c r="J13" i="43"/>
  <c r="S7" i="61"/>
  <c r="J17" i="43"/>
  <c r="J15" i="43" s="1"/>
  <c r="J20" i="43" s="1"/>
  <c r="V20" i="51"/>
  <c r="AO23" i="62" s="1"/>
  <c r="AO21" i="62"/>
  <c r="V22" i="43"/>
  <c r="V17" i="43"/>
  <c r="V15" i="43" s="1"/>
  <c r="V20" i="43" s="1"/>
  <c r="AO7" i="61"/>
  <c r="B8" i="72"/>
  <c r="D12" i="61"/>
  <c r="D17" i="61" s="1"/>
  <c r="N20" i="52"/>
  <c r="AA17" i="63" s="1"/>
  <c r="AA15" i="63"/>
  <c r="T17" i="43"/>
  <c r="T15" i="43" s="1"/>
  <c r="T20" i="43" s="1"/>
  <c r="T22" i="43"/>
  <c r="AK7" i="61"/>
  <c r="T29" i="43"/>
  <c r="L20" i="51"/>
  <c r="W23" i="62" s="1"/>
  <c r="W21" i="62"/>
  <c r="X11" i="73"/>
  <c r="AH6" i="61"/>
  <c r="AH18" i="61"/>
  <c r="G29" i="43"/>
  <c r="M20" i="52"/>
  <c r="Y17" i="63" s="1"/>
  <c r="Y15" i="63"/>
  <c r="O11" i="43"/>
  <c r="M12" i="43"/>
  <c r="J20" i="51"/>
  <c r="T23" i="62" s="1"/>
  <c r="T21" i="62"/>
  <c r="X12" i="27"/>
  <c r="S16" i="27"/>
  <c r="X16" i="27" s="1"/>
  <c r="J20" i="48"/>
  <c r="T44" i="61" s="1"/>
  <c r="T42" i="61"/>
  <c r="X9" i="51"/>
  <c r="X18" i="51" s="1"/>
  <c r="E27" i="43"/>
  <c r="E28" i="43"/>
  <c r="B12" i="43"/>
  <c r="Q19" i="73"/>
  <c r="AF10" i="62"/>
  <c r="N20" i="51"/>
  <c r="AA23" i="62" s="1"/>
  <c r="AA21" i="62"/>
  <c r="S13" i="43"/>
  <c r="T6" i="61"/>
  <c r="F8" i="72"/>
  <c r="L12" i="61"/>
  <c r="L17" i="61" s="1"/>
  <c r="V6" i="49"/>
  <c r="AN12" i="61"/>
  <c r="AN17" i="61" s="1"/>
  <c r="V8" i="72"/>
  <c r="V6" i="10"/>
  <c r="V8" i="10" s="1"/>
  <c r="AN6" i="63" s="1"/>
  <c r="M17" i="43"/>
  <c r="M15" i="43" s="1"/>
  <c r="M20" i="43" s="1"/>
  <c r="Y7" i="61"/>
  <c r="M22" i="43"/>
  <c r="M29" i="43" s="1"/>
  <c r="S20" i="51"/>
  <c r="AI23" i="62" s="1"/>
  <c r="AI21" i="62"/>
  <c r="F12" i="43"/>
  <c r="H20" i="48"/>
  <c r="Q44" i="61" s="1"/>
  <c r="Q42" i="61"/>
  <c r="X19" i="73"/>
  <c r="AR11" i="62"/>
  <c r="H13" i="43"/>
  <c r="AQ7" i="61"/>
  <c r="X6" i="43"/>
  <c r="X13" i="43" s="1"/>
  <c r="X12" i="10"/>
  <c r="J20" i="72" l="1"/>
  <c r="J15" i="74"/>
  <c r="J20" i="74" s="1"/>
  <c r="B10" i="72"/>
  <c r="B11" i="72" s="1"/>
  <c r="C7" i="72"/>
  <c r="B8" i="74"/>
  <c r="B10" i="74" s="1"/>
  <c r="B11" i="74" s="1"/>
  <c r="S6" i="61"/>
  <c r="S18" i="61"/>
  <c r="L15" i="43"/>
  <c r="O27" i="43"/>
  <c r="L7" i="72"/>
  <c r="E10" i="72"/>
  <c r="E11" i="72" s="1"/>
  <c r="E8" i="74"/>
  <c r="E10" i="74" s="1"/>
  <c r="E11" i="74" s="1"/>
  <c r="V15" i="49"/>
  <c r="AN40" i="61" s="1"/>
  <c r="V6" i="53"/>
  <c r="V15" i="53" s="1"/>
  <c r="AN13" i="63" s="1"/>
  <c r="AO18" i="61"/>
  <c r="AO6" i="61"/>
  <c r="AC6" i="61"/>
  <c r="AC18" i="61"/>
  <c r="G16" i="72"/>
  <c r="O12" i="61"/>
  <c r="O17" i="61" s="1"/>
  <c r="P12" i="61"/>
  <c r="P17" i="61" s="1"/>
  <c r="H8" i="72"/>
  <c r="AB12" i="61"/>
  <c r="AB17" i="61" s="1"/>
  <c r="O6" i="10"/>
  <c r="O8" i="10" s="1"/>
  <c r="AB6" i="63" s="1"/>
  <c r="L27" i="43"/>
  <c r="L28" i="43" s="1"/>
  <c r="Q22" i="43"/>
  <c r="AK6" i="61"/>
  <c r="AK18" i="61"/>
  <c r="V9" i="48"/>
  <c r="V17" i="49"/>
  <c r="J11" i="43"/>
  <c r="J12" i="43" s="1"/>
  <c r="Q6" i="61"/>
  <c r="Q18" i="61"/>
  <c r="T7" i="72"/>
  <c r="M8" i="74"/>
  <c r="X24" i="43"/>
  <c r="S29" i="43"/>
  <c r="S17" i="43"/>
  <c r="S15" i="43" s="1"/>
  <c r="S20" i="43" s="1"/>
  <c r="S22" i="43"/>
  <c r="AI7" i="61"/>
  <c r="O29" i="43"/>
  <c r="G28" i="43"/>
  <c r="Q13" i="43"/>
  <c r="V10" i="72"/>
  <c r="V8" i="74"/>
  <c r="V10" i="74" s="1"/>
  <c r="V11" i="74" s="1"/>
  <c r="M28" i="43"/>
  <c r="M27" i="43"/>
  <c r="M7" i="72"/>
  <c r="F10" i="72"/>
  <c r="F11" i="72" s="1"/>
  <c r="F8" i="74"/>
  <c r="F10" i="74" s="1"/>
  <c r="F11" i="74" s="1"/>
  <c r="T27" i="43"/>
  <c r="T28" i="43" s="1"/>
  <c r="V28" i="43"/>
  <c r="V27" i="43"/>
  <c r="H27" i="43"/>
  <c r="AA31" i="61"/>
  <c r="AM31" i="61"/>
  <c r="N7" i="74"/>
  <c r="N12" i="74" s="1"/>
  <c r="N12" i="72"/>
  <c r="N11" i="72" s="1"/>
  <c r="Y6" i="61"/>
  <c r="Y18" i="61"/>
  <c r="E16" i="72"/>
  <c r="K12" i="61"/>
  <c r="K17" i="61" s="1"/>
  <c r="T9" i="48"/>
  <c r="T17" i="49"/>
  <c r="V29" i="43"/>
  <c r="W18" i="61"/>
  <c r="W6" i="61"/>
  <c r="AA7" i="61"/>
  <c r="N17" i="43"/>
  <c r="N15" i="43" s="1"/>
  <c r="N20" i="43" s="1"/>
  <c r="N22" i="43"/>
  <c r="U20" i="52"/>
  <c r="AM17" i="63" s="1"/>
  <c r="AM15" i="63"/>
  <c r="F16" i="72"/>
  <c r="M12" i="61"/>
  <c r="M17" i="61" s="1"/>
  <c r="J16" i="72"/>
  <c r="T12" i="61"/>
  <c r="T17" i="61" s="1"/>
  <c r="L10" i="72"/>
  <c r="S7" i="72"/>
  <c r="L8" i="74"/>
  <c r="X12" i="43"/>
  <c r="X11" i="43"/>
  <c r="AQ6" i="61"/>
  <c r="AQ18" i="61"/>
  <c r="U7" i="72"/>
  <c r="N10" i="72"/>
  <c r="N8" i="74"/>
  <c r="N10" i="74" s="1"/>
  <c r="X20" i="51"/>
  <c r="AR23" i="62" s="1"/>
  <c r="AR21" i="62"/>
  <c r="O12" i="43"/>
  <c r="AF7" i="61"/>
  <c r="U20" i="48"/>
  <c r="AM44" i="61" s="1"/>
  <c r="AM42" i="61"/>
  <c r="S6" i="49"/>
  <c r="S8" i="72"/>
  <c r="AH12" i="61"/>
  <c r="AH17" i="61" s="1"/>
  <c r="S6" i="10"/>
  <c r="S8" i="10" s="1"/>
  <c r="AH6" i="63" s="1"/>
  <c r="Q11" i="43"/>
  <c r="Q12" i="43" s="1"/>
  <c r="S10" i="72" l="1"/>
  <c r="AH14" i="61" s="1"/>
  <c r="S8" i="74"/>
  <c r="S12" i="72"/>
  <c r="S7" i="74"/>
  <c r="S12" i="74" s="1"/>
  <c r="N27" i="43"/>
  <c r="N28" i="43"/>
  <c r="T24" i="49"/>
  <c r="AK40" i="61" s="1"/>
  <c r="T17" i="53"/>
  <c r="T24" i="53" s="1"/>
  <c r="AK13" i="63" s="1"/>
  <c r="N11" i="74"/>
  <c r="X17" i="43"/>
  <c r="X15" i="43" s="1"/>
  <c r="X20" i="43" s="1"/>
  <c r="X22" i="43"/>
  <c r="AR7" i="61"/>
  <c r="X29" i="43"/>
  <c r="L10" i="74"/>
  <c r="AN14" i="61"/>
  <c r="V11" i="72"/>
  <c r="U12" i="72"/>
  <c r="U7" i="74"/>
  <c r="U10" i="72"/>
  <c r="AL14" i="61" s="1"/>
  <c r="T18" i="48"/>
  <c r="T9" i="52"/>
  <c r="T18" i="52" s="1"/>
  <c r="M10" i="74"/>
  <c r="V24" i="49"/>
  <c r="AO40" i="61" s="1"/>
  <c r="V17" i="53"/>
  <c r="V24" i="53" s="1"/>
  <c r="AO13" i="63" s="1"/>
  <c r="L12" i="72"/>
  <c r="L11" i="72" s="1"/>
  <c r="L7" i="74"/>
  <c r="L12" i="74" s="1"/>
  <c r="S15" i="49"/>
  <c r="AH40" i="61" s="1"/>
  <c r="X6" i="49"/>
  <c r="S6" i="53"/>
  <c r="S15" i="53" s="1"/>
  <c r="AH13" i="63" s="1"/>
  <c r="AF18" i="61"/>
  <c r="AF6" i="61"/>
  <c r="AA6" i="61"/>
  <c r="AA18" i="61"/>
  <c r="T12" i="72"/>
  <c r="T7" i="74"/>
  <c r="T10" i="72"/>
  <c r="AJ14" i="61" s="1"/>
  <c r="V18" i="48"/>
  <c r="V9" i="52"/>
  <c r="V18" i="52" s="1"/>
  <c r="O16" i="72"/>
  <c r="AC12" i="61"/>
  <c r="AC17" i="61" s="1"/>
  <c r="O16" i="10"/>
  <c r="C7" i="74"/>
  <c r="C12" i="72"/>
  <c r="C10" i="72"/>
  <c r="N15" i="72"/>
  <c r="G18" i="72"/>
  <c r="G19" i="72" s="1"/>
  <c r="G16" i="74"/>
  <c r="G18" i="74" s="1"/>
  <c r="G19" i="74" s="1"/>
  <c r="T16" i="72"/>
  <c r="AK12" i="61"/>
  <c r="AK17" i="61" s="1"/>
  <c r="T16" i="10"/>
  <c r="L16" i="72"/>
  <c r="Q27" i="43"/>
  <c r="W12" i="61"/>
  <c r="W17" i="61" s="1"/>
  <c r="Q8" i="72"/>
  <c r="AE12" i="61"/>
  <c r="AE17" i="61" s="1"/>
  <c r="Q6" i="10"/>
  <c r="Q8" i="10" s="1"/>
  <c r="AE6" i="63" s="1"/>
  <c r="Q29" i="43"/>
  <c r="J18" i="72"/>
  <c r="Q15" i="72"/>
  <c r="J16" i="74"/>
  <c r="J18" i="74" s="1"/>
  <c r="J19" i="74" s="1"/>
  <c r="N29" i="43"/>
  <c r="L15" i="72"/>
  <c r="E18" i="72"/>
  <c r="E19" i="72" s="1"/>
  <c r="E16" i="74"/>
  <c r="E18" i="74" s="1"/>
  <c r="E19" i="74" s="1"/>
  <c r="H16" i="72"/>
  <c r="Q12" i="61"/>
  <c r="Q17" i="61" s="1"/>
  <c r="M12" i="72"/>
  <c r="M7" i="74"/>
  <c r="M12" i="74" s="1"/>
  <c r="M10" i="72"/>
  <c r="O7" i="72"/>
  <c r="H10" i="72"/>
  <c r="H11" i="72" s="1"/>
  <c r="H8" i="74"/>
  <c r="H10" i="74" s="1"/>
  <c r="H11" i="74" s="1"/>
  <c r="O28" i="43"/>
  <c r="J8" i="72"/>
  <c r="S12" i="61"/>
  <c r="S17" i="61" s="1"/>
  <c r="H28" i="43"/>
  <c r="M16" i="72"/>
  <c r="Y12" i="61"/>
  <c r="Y17" i="61" s="1"/>
  <c r="AI6" i="61"/>
  <c r="AI18" i="61"/>
  <c r="Q15" i="43"/>
  <c r="L20" i="43"/>
  <c r="Q20" i="43" s="1"/>
  <c r="S17" i="49"/>
  <c r="S9" i="48"/>
  <c r="X8" i="72"/>
  <c r="AQ12" i="61"/>
  <c r="AQ17" i="61" s="1"/>
  <c r="X6" i="10"/>
  <c r="X8" i="10" s="1"/>
  <c r="AQ6" i="63" s="1"/>
  <c r="M15" i="72"/>
  <c r="F18" i="72"/>
  <c r="F19" i="72" s="1"/>
  <c r="F16" i="74"/>
  <c r="F18" i="74" s="1"/>
  <c r="F19" i="74" s="1"/>
  <c r="V16" i="72"/>
  <c r="AO12" i="61"/>
  <c r="AO17" i="61" s="1"/>
  <c r="V16" i="10"/>
  <c r="S27" i="43"/>
  <c r="S28" i="43"/>
  <c r="Q17" i="43"/>
  <c r="J19" i="72"/>
  <c r="M18" i="72" l="1"/>
  <c r="T15" i="72"/>
  <c r="M16" i="74"/>
  <c r="Q16" i="72"/>
  <c r="AF12" i="61"/>
  <c r="AF17" i="61" s="1"/>
  <c r="Q16" i="10"/>
  <c r="M11" i="72"/>
  <c r="Q20" i="72"/>
  <c r="Q15" i="74"/>
  <c r="Q20" i="74" s="1"/>
  <c r="L18" i="72"/>
  <c r="S15" i="72"/>
  <c r="L16" i="74"/>
  <c r="C11" i="72"/>
  <c r="T12" i="74"/>
  <c r="T10" i="74"/>
  <c r="T20" i="52"/>
  <c r="AK17" i="63" s="1"/>
  <c r="AK15" i="63"/>
  <c r="N16" i="72"/>
  <c r="AA12" i="61"/>
  <c r="AA17" i="61" s="1"/>
  <c r="N16" i="10"/>
  <c r="M11" i="74"/>
  <c r="M20" i="72"/>
  <c r="M19" i="72" s="1"/>
  <c r="M15" i="74"/>
  <c r="M20" i="74" s="1"/>
  <c r="J10" i="72"/>
  <c r="J11" i="72" s="1"/>
  <c r="Q7" i="72"/>
  <c r="J8" i="74"/>
  <c r="J10" i="74" s="1"/>
  <c r="J11" i="74" s="1"/>
  <c r="T11" i="10"/>
  <c r="T18" i="10"/>
  <c r="C12" i="74"/>
  <c r="C10" i="74"/>
  <c r="AJ15" i="61"/>
  <c r="T11" i="72"/>
  <c r="X15" i="49"/>
  <c r="AQ40" i="61" s="1"/>
  <c r="X6" i="53"/>
  <c r="X15" i="53" s="1"/>
  <c r="AQ13" i="63" s="1"/>
  <c r="T20" i="48"/>
  <c r="AK44" i="61" s="1"/>
  <c r="AK42" i="61"/>
  <c r="AR18" i="61"/>
  <c r="AR6" i="61"/>
  <c r="S11" i="74"/>
  <c r="N20" i="72"/>
  <c r="N15" i="74"/>
  <c r="N20" i="74" s="1"/>
  <c r="O15" i="72"/>
  <c r="O18" i="72" s="1"/>
  <c r="H18" i="72"/>
  <c r="H19" i="72" s="1"/>
  <c r="H16" i="74"/>
  <c r="H18" i="74" s="1"/>
  <c r="H19" i="74" s="1"/>
  <c r="O18" i="10"/>
  <c r="O11" i="10"/>
  <c r="X28" i="43"/>
  <c r="X27" i="43"/>
  <c r="S11" i="72"/>
  <c r="AH15" i="61"/>
  <c r="V20" i="48"/>
  <c r="AO44" i="61" s="1"/>
  <c r="AO42" i="61"/>
  <c r="S16" i="72"/>
  <c r="AI12" i="61"/>
  <c r="AI17" i="61" s="1"/>
  <c r="S16" i="10"/>
  <c r="T18" i="72"/>
  <c r="AK14" i="61" s="1"/>
  <c r="T16" i="74"/>
  <c r="L11" i="74"/>
  <c r="U12" i="74"/>
  <c r="U10" i="74"/>
  <c r="Q28" i="43"/>
  <c r="V18" i="72"/>
  <c r="AO14" i="61" s="1"/>
  <c r="V16" i="74"/>
  <c r="V11" i="10"/>
  <c r="V18" i="10"/>
  <c r="X10" i="72"/>
  <c r="AQ14" i="61" s="1"/>
  <c r="X8" i="74"/>
  <c r="V15" i="72"/>
  <c r="O16" i="74"/>
  <c r="U11" i="72"/>
  <c r="AL15" i="61"/>
  <c r="S10" i="74"/>
  <c r="X17" i="49"/>
  <c r="S24" i="49"/>
  <c r="AI40" i="61" s="1"/>
  <c r="S17" i="53"/>
  <c r="S24" i="53" s="1"/>
  <c r="AI13" i="63" s="1"/>
  <c r="X9" i="48"/>
  <c r="S18" i="48"/>
  <c r="S9" i="52"/>
  <c r="S18" i="52" s="1"/>
  <c r="O10" i="72"/>
  <c r="O12" i="72"/>
  <c r="O11" i="72" s="1"/>
  <c r="O7" i="74"/>
  <c r="L20" i="72"/>
  <c r="L19" i="72" s="1"/>
  <c r="L15" i="74"/>
  <c r="L20" i="74" s="1"/>
  <c r="X7" i="72"/>
  <c r="Q10" i="72"/>
  <c r="Q8" i="74"/>
  <c r="V20" i="52"/>
  <c r="AO17" i="63" s="1"/>
  <c r="AO15" i="63"/>
  <c r="S11" i="10" l="1"/>
  <c r="S18" i="10"/>
  <c r="S20" i="48"/>
  <c r="AI44" i="61" s="1"/>
  <c r="AI42" i="61"/>
  <c r="X7" i="74"/>
  <c r="X12" i="74" s="1"/>
  <c r="X12" i="72"/>
  <c r="X18" i="48"/>
  <c r="X9" i="52"/>
  <c r="X18" i="52" s="1"/>
  <c r="S18" i="72"/>
  <c r="AI14" i="61" s="1"/>
  <c r="S16" i="74"/>
  <c r="AC6" i="63"/>
  <c r="O13" i="10"/>
  <c r="T11" i="74"/>
  <c r="Q11" i="10"/>
  <c r="Q18" i="10"/>
  <c r="AI15" i="63"/>
  <c r="S20" i="52"/>
  <c r="AI17" i="63" s="1"/>
  <c r="V20" i="72"/>
  <c r="V15" i="74"/>
  <c r="V20" i="74" s="1"/>
  <c r="C11" i="74"/>
  <c r="X10" i="74"/>
  <c r="U11" i="74"/>
  <c r="AK6" i="63"/>
  <c r="T13" i="10"/>
  <c r="N11" i="10"/>
  <c r="N18" i="10"/>
  <c r="L18" i="74"/>
  <c r="L19" i="74" s="1"/>
  <c r="X15" i="72"/>
  <c r="Q18" i="72"/>
  <c r="Q19" i="72" s="1"/>
  <c r="Q16" i="74"/>
  <c r="Q18" i="74" s="1"/>
  <c r="Q19" i="74" s="1"/>
  <c r="O12" i="74"/>
  <c r="O10" i="74"/>
  <c r="X24" i="49"/>
  <c r="AR40" i="61" s="1"/>
  <c r="X17" i="53"/>
  <c r="X24" i="53" s="1"/>
  <c r="AR13" i="63" s="1"/>
  <c r="O20" i="72"/>
  <c r="O19" i="72" s="1"/>
  <c r="O15" i="74"/>
  <c r="O20" i="74" s="1"/>
  <c r="S20" i="72"/>
  <c r="S15" i="74"/>
  <c r="S20" i="74" s="1"/>
  <c r="M18" i="74"/>
  <c r="M19" i="74"/>
  <c r="AO6" i="63"/>
  <c r="V13" i="10"/>
  <c r="T18" i="74"/>
  <c r="N19" i="74"/>
  <c r="U15" i="72"/>
  <c r="N18" i="72"/>
  <c r="N16" i="74"/>
  <c r="N18" i="74" s="1"/>
  <c r="T20" i="72"/>
  <c r="T15" i="74"/>
  <c r="T20" i="74" s="1"/>
  <c r="X16" i="72"/>
  <c r="X16" i="10"/>
  <c r="AR12" i="61"/>
  <c r="AR17" i="61" s="1"/>
  <c r="N19" i="72"/>
  <c r="Q12" i="72"/>
  <c r="Q11" i="72" s="1"/>
  <c r="Q7" i="74"/>
  <c r="Q12" i="74" s="1"/>
  <c r="X18" i="72" l="1"/>
  <c r="AR14" i="61" s="1"/>
  <c r="X16" i="74"/>
  <c r="X11" i="72"/>
  <c r="AQ15" i="61"/>
  <c r="X20" i="72"/>
  <c r="X15" i="74"/>
  <c r="X20" i="74" s="1"/>
  <c r="X11" i="74"/>
  <c r="AF6" i="63"/>
  <c r="Q13" i="10"/>
  <c r="T19" i="74"/>
  <c r="AK15" i="61"/>
  <c r="T19" i="72"/>
  <c r="N13" i="10"/>
  <c r="AA6" i="63"/>
  <c r="V19" i="72"/>
  <c r="AO15" i="61"/>
  <c r="X18" i="10"/>
  <c r="X11" i="10"/>
  <c r="O11" i="74"/>
  <c r="S18" i="74"/>
  <c r="S19" i="74" s="1"/>
  <c r="S13" i="10"/>
  <c r="AI6" i="63"/>
  <c r="O18" i="74"/>
  <c r="O19" i="74" s="1"/>
  <c r="X20" i="48"/>
  <c r="AR44" i="61" s="1"/>
  <c r="AR42" i="61"/>
  <c r="U20" i="72"/>
  <c r="U15" i="74"/>
  <c r="U18" i="72"/>
  <c r="AM14" i="61" s="1"/>
  <c r="S19" i="72"/>
  <c r="AI15" i="61"/>
  <c r="V18" i="74"/>
  <c r="V19" i="74" s="1"/>
  <c r="X20" i="52"/>
  <c r="AR17" i="63" s="1"/>
  <c r="AR15" i="63"/>
  <c r="Q10" i="74"/>
  <c r="Q11" i="74" s="1"/>
  <c r="U18" i="74" l="1"/>
  <c r="U20" i="74"/>
  <c r="U19" i="74" s="1"/>
  <c r="U19" i="72"/>
  <c r="AM15" i="61"/>
  <c r="X19" i="74"/>
  <c r="X19" i="72"/>
  <c r="AR15" i="61"/>
  <c r="X13" i="10"/>
  <c r="AR6" i="63"/>
  <c r="X18" i="74"/>
</calcChain>
</file>

<file path=xl/sharedStrings.xml><?xml version="1.0" encoding="utf-8"?>
<sst xmlns="http://schemas.openxmlformats.org/spreadsheetml/2006/main" count="1329" uniqueCount="379">
  <si>
    <t>($ in millions)</t>
  </si>
  <si>
    <t>Three Months Ended</t>
  </si>
  <si>
    <t>GAAP other expense, net</t>
  </si>
  <si>
    <t>Non-GAAP provision for income taxes</t>
  </si>
  <si>
    <t>Non-GAAP diluted net income per common share attributable to Verint Systems Inc.</t>
  </si>
  <si>
    <t>Amortization of convertible note discount</t>
  </si>
  <si>
    <t>Other adjustments</t>
  </si>
  <si>
    <t>Stock-based compensation expenses</t>
  </si>
  <si>
    <t>GAAP gross profit</t>
  </si>
  <si>
    <t xml:space="preserve">    GAAP gross margin</t>
  </si>
  <si>
    <t>Amortization of other acquired intangible assets</t>
  </si>
  <si>
    <t xml:space="preserve"> </t>
  </si>
  <si>
    <t xml:space="preserve">   GAAP effective income tax rate</t>
  </si>
  <si>
    <t xml:space="preserve">   Non-GAAP effective income tax rate</t>
  </si>
  <si>
    <t>Non-GAAP other expense, net</t>
  </si>
  <si>
    <t>Total GAAP net (loss) income adjustments</t>
  </si>
  <si>
    <t>Non-GAAP tax adjustments</t>
  </si>
  <si>
    <t>Non-GAAP diluted weighted-average shares used in computing net income per common share</t>
  </si>
  <si>
    <t>GAAP diluted net (loss) income per common share attributable to Verint Systems Inc.</t>
  </si>
  <si>
    <t>Restructuring expenses</t>
  </si>
  <si>
    <t>Impairment charges</t>
  </si>
  <si>
    <t>($ in millions, except share and per share data; shares in thousands)</t>
  </si>
  <si>
    <t>Customer Engagement</t>
  </si>
  <si>
    <t>Cyber Intelligence</t>
  </si>
  <si>
    <t>GAAP Total Revenue</t>
  </si>
  <si>
    <t>Non-GAAP Total Revenue</t>
  </si>
  <si>
    <t>Non-GAAP Revenue by Segment:</t>
  </si>
  <si>
    <t>Amortization of acquired technology</t>
  </si>
  <si>
    <t>Acquisition expenses, net</t>
  </si>
  <si>
    <t>Other Expense Reconciliation</t>
  </si>
  <si>
    <t>Additional weighted-average shares applicable to non-GAAP net income per common share attributable to Verint Systems Inc</t>
  </si>
  <si>
    <t>Year Ended</t>
  </si>
  <si>
    <t>Total GAAP revenue</t>
  </si>
  <si>
    <t>Total GAAP cost of revenue</t>
  </si>
  <si>
    <t>GAAP operating income</t>
  </si>
  <si>
    <t>GAAP provision (benefit) for income taxes</t>
  </si>
  <si>
    <t>Tax Provision (Benefit) Reconciliation</t>
  </si>
  <si>
    <t>Estimated adjusted EBITDA</t>
  </si>
  <si>
    <t>Cloud revenue - GAAP</t>
  </si>
  <si>
    <t>Cloud revenue - non-GAAP</t>
  </si>
  <si>
    <t>Recurring revenue - GAAP</t>
  </si>
  <si>
    <t>Recurring revenue - non-GAAP</t>
  </si>
  <si>
    <t>Revenue adjustments</t>
  </si>
  <si>
    <t>Revenue Adjustments:</t>
  </si>
  <si>
    <t>Total Revenue Adjustments</t>
  </si>
  <si>
    <t>GAAP weighted-average shares used in computing diluted net (loss) income per common share</t>
  </si>
  <si>
    <t>Nonrecurring revenue - GAAP</t>
  </si>
  <si>
    <t>Nonrecurring revenue - non-GAAP</t>
  </si>
  <si>
    <t xml:space="preserve">   SaaS revenue - GAAP</t>
  </si>
  <si>
    <t>Estimated cloud revenue adjustments</t>
  </si>
  <si>
    <t xml:space="preserve">   Estimated SaaS revenue adjustments</t>
  </si>
  <si>
    <t xml:space="preserve">   SaaS revenue - non-GAAP</t>
  </si>
  <si>
    <t xml:space="preserve">   Estimated optional managed services revenue adjustments</t>
  </si>
  <si>
    <t>Unrealized losses (gains) on derivatives, net</t>
  </si>
  <si>
    <t xml:space="preserve">      Bundled SaaS revenue - GAAP</t>
  </si>
  <si>
    <t xml:space="preserve">   Optional managed services revenue -  GAAP </t>
  </si>
  <si>
    <t xml:space="preserve">      Estimated bundled SaaS revenue adjustments</t>
  </si>
  <si>
    <t xml:space="preserve">      Estimated unbundled SaaS revenue adjustments</t>
  </si>
  <si>
    <t xml:space="preserve">      Bundled SaaS revenue - non-GAAP</t>
  </si>
  <si>
    <t xml:space="preserve">   Optional managed services revenue - non-GAAP </t>
  </si>
  <si>
    <t>Research and Development, net</t>
  </si>
  <si>
    <t>Segment expenses</t>
  </si>
  <si>
    <t>GAAP research and development, net</t>
  </si>
  <si>
    <t>Selling, General and Administrative expenses</t>
  </si>
  <si>
    <t>GAAP selling, general and administrative expenses</t>
  </si>
  <si>
    <t>Total revenue - GAAP</t>
  </si>
  <si>
    <t>Total revenue - non-GAAP</t>
  </si>
  <si>
    <t xml:space="preserve">   Cloud revenue - GAAP</t>
  </si>
  <si>
    <t>Estimated recurring revenue adjustments</t>
  </si>
  <si>
    <t xml:space="preserve">   Estimated cloud revenue adjustments</t>
  </si>
  <si>
    <t>Estimated nonrecurring revenue adjustments</t>
  </si>
  <si>
    <t>Total estimated revenue adjustments</t>
  </si>
  <si>
    <t xml:space="preserve">   Cloud revenue - non-GAAP</t>
  </si>
  <si>
    <t>As of</t>
  </si>
  <si>
    <t>Current maturities of long-term debt</t>
  </si>
  <si>
    <t>Long-term debt</t>
  </si>
  <si>
    <t>Unamortized debt discounts and issuance costs</t>
  </si>
  <si>
    <t>Gross debt</t>
  </si>
  <si>
    <t>Less:</t>
  </si>
  <si>
    <t>Cash and cash equivalents</t>
  </si>
  <si>
    <t>Restricted cash and cash equivalents, and restricted bank time deposits</t>
  </si>
  <si>
    <t>Short-term investments</t>
  </si>
  <si>
    <t>Long-term restricted cash, cash equivalents, bank time deposits and investments</t>
  </si>
  <si>
    <t>Net debt, including long-term restricted cash, cash equivalents, bank time deposits, and investments</t>
  </si>
  <si>
    <t xml:space="preserve">    </t>
  </si>
  <si>
    <t>GAAP to Non-GAAP Reconciliation</t>
  </si>
  <si>
    <t>GAAP</t>
  </si>
  <si>
    <t>Non-GAAP</t>
  </si>
  <si>
    <t>Revenue Metrics</t>
  </si>
  <si>
    <t>Recurring Revenue</t>
  </si>
  <si>
    <t>Nonrecurring Revenue</t>
  </si>
  <si>
    <t xml:space="preserve">    Total Revenue</t>
  </si>
  <si>
    <t xml:space="preserve">   % of Revenue</t>
  </si>
  <si>
    <t xml:space="preserve">   Fully Allocated Estimated EBITDA Margin</t>
  </si>
  <si>
    <t>Operating Expense 
Metrics</t>
  </si>
  <si>
    <t>Profitability 
Metrics</t>
  </si>
  <si>
    <t>Acquisitions expenses, net</t>
  </si>
  <si>
    <t xml:space="preserve">   Estimated fully allocated adjusted EBITDA</t>
  </si>
  <si>
    <t xml:space="preserve">   GAAP operating margin</t>
  </si>
  <si>
    <t xml:space="preserve">Year Ended </t>
  </si>
  <si>
    <t>1/31/2019</t>
  </si>
  <si>
    <t>Cloud Revenue</t>
  </si>
  <si>
    <t>New SaaS ACV</t>
  </si>
  <si>
    <t>Estimated Fully Allocated Operating Income</t>
  </si>
  <si>
    <t xml:space="preserve">   Estimated Fully Allocated Operating Margin %</t>
  </si>
  <si>
    <t xml:space="preserve">Estimated Fully Allocated Adjusted EBITDA </t>
  </si>
  <si>
    <t xml:space="preserve">   Estimated Fully Allocated Adjusted EBITDA Margin</t>
  </si>
  <si>
    <t xml:space="preserve">     as a % of GAAP revenue</t>
  </si>
  <si>
    <t xml:space="preserve">     as a % of non-GAAP revenue</t>
  </si>
  <si>
    <t>10/31/2019</t>
  </si>
  <si>
    <t xml:space="preserve">   Support revenue -  GAAP </t>
  </si>
  <si>
    <t xml:space="preserve">   Estimated support revenue adjustments</t>
  </si>
  <si>
    <t xml:space="preserve">   Support revenue -  non-GAAP </t>
  </si>
  <si>
    <t>(1)</t>
  </si>
  <si>
    <t>(2)</t>
  </si>
  <si>
    <t>(3)</t>
  </si>
  <si>
    <t>(4)</t>
  </si>
  <si>
    <t>(5)</t>
  </si>
  <si>
    <t>(6)</t>
  </si>
  <si>
    <t>(7)</t>
  </si>
  <si>
    <t>(8)</t>
  </si>
  <si>
    <t>(9)</t>
  </si>
  <si>
    <t>Stock-based compensation expenses (3)</t>
  </si>
  <si>
    <t>Acquisition expenses, net (5)</t>
  </si>
  <si>
    <t>Restructuring expenses (5)</t>
  </si>
  <si>
    <t>Shared support expenses allocation (4)</t>
  </si>
  <si>
    <t>Stock-based compensation expenses (6)</t>
  </si>
  <si>
    <t>Shared support service allocation (7)</t>
  </si>
  <si>
    <t>Acquisition expenses, net (8)</t>
  </si>
  <si>
    <t>Restructuring expenses (8)</t>
  </si>
  <si>
    <t>Impairment charges (8)</t>
  </si>
  <si>
    <t>Other adjustments (8)</t>
  </si>
  <si>
    <t>Depreciation and amortization (9)</t>
  </si>
  <si>
    <t>Supplemental Information About Non-GAAP Financial Measures</t>
  </si>
  <si>
    <t>We believe these non-GAAP financial measures, used in conjunction with the corresponding GAAP measures, provide investors with useful supplemental information about the financial performance of our business by:</t>
  </si>
  <si>
    <t>We also make these non-GAAP financial measures available because a number of our investors have informed us that they find this supplemental information useful.</t>
  </si>
  <si>
    <t>Non-GAAP financial measures should not be considered in isolation as substitutes for, or superior to, comparable GAAP financial measures. The non-GAAP financial measures we present have limitations in that they do not reflect all of the amounts associated with our results of operations as determined in accordance with GAAP, and these non-GAAP financial measures should only be used to evaluate our results of operations in conjunction with the corresponding GAAP financial measures. These non-GAAP financial measures do not represent discretionary cash available to us to invest in the growth of our business, and we may in the future incur expenses similar to or in addition to the adjustments made in these non-GAAP financial measures. Other companies may calculate similar non-GAAP financial measures differently than we do, limiting their usefulness as comparative measures.</t>
  </si>
  <si>
    <t>Our non-GAAP financial measures are calculated by making the following adjustments to our GAAP financial measures:</t>
  </si>
  <si>
    <t>Adjusted EBITDA</t>
  </si>
  <si>
    <t>Net Debt</t>
  </si>
  <si>
    <t>Net Debt is a non-GAAP measure defined as the sum of long-term and short-term debt on our consolidated balance sheet, excluding unamortized discounts and issuance costs, less the sum of cash and cash equivalents, restricted cash, restricted cash equivalents, restricted bank time deposits, and restricted investments (including long-term portions), and short-term investments. We use this non-GAAP financial measure to help evaluate our capital structure, financial leverage, and our ability to reduce debt and to fund investing and financing activities, and believe that it provides useful information to investors.</t>
  </si>
  <si>
    <t>Segment product costs</t>
  </si>
  <si>
    <t>Segment service expenses</t>
  </si>
  <si>
    <t>1/31/2017 (1)</t>
  </si>
  <si>
    <t>1/31/2018 (1)</t>
  </si>
  <si>
    <t>4/30/2018 (1)</t>
  </si>
  <si>
    <t>7/31/2018 (1)</t>
  </si>
  <si>
    <t>10/31/2018 (1)</t>
  </si>
  <si>
    <t>4/30/2019</t>
  </si>
  <si>
    <t>7/31/2019</t>
  </si>
  <si>
    <t>1/31/2017 (2)</t>
  </si>
  <si>
    <t>1/31/2018 (2)</t>
  </si>
  <si>
    <t>4/30/2018 (2)</t>
  </si>
  <si>
    <t>7/31/2018 (2)</t>
  </si>
  <si>
    <t>10/31/2018 (2)</t>
  </si>
  <si>
    <t xml:space="preserve">1/31/2017 </t>
  </si>
  <si>
    <t xml:space="preserve">4/30/2018 </t>
  </si>
  <si>
    <t xml:space="preserve">7/31/2018 </t>
  </si>
  <si>
    <t xml:space="preserve">10/31/2018 </t>
  </si>
  <si>
    <t>1/31/2018</t>
  </si>
  <si>
    <t>1/31/2017</t>
  </si>
  <si>
    <t>Footnotes</t>
  </si>
  <si>
    <t>CES Cloud Metrics tab</t>
  </si>
  <si>
    <t>CES Gross Profit tab</t>
  </si>
  <si>
    <t>CIS Revenue Metrics tab</t>
  </si>
  <si>
    <t>CIS Gross Profit tab</t>
  </si>
  <si>
    <t>Consolidated Gross Profit tab</t>
  </si>
  <si>
    <t>Consolidated Revenue</t>
  </si>
  <si>
    <t>Consolidated Gross Profit</t>
  </si>
  <si>
    <t xml:space="preserve">   % of Total Expenses</t>
  </si>
  <si>
    <t>Cyber Intelligence Solutions Summary Metrics</t>
  </si>
  <si>
    <t>Consolidated Summary Metrics</t>
  </si>
  <si>
    <t>Segment Expenses*</t>
  </si>
  <si>
    <t>Customer Engagement Solutions Revenue Metrics</t>
  </si>
  <si>
    <t>Note: Amounts may not foot throughout the workbook due to rounding.</t>
  </si>
  <si>
    <t>Customer Engagement Solutions Cloud Metrics</t>
  </si>
  <si>
    <t>Customer Engagement Solutions Gross Profit</t>
  </si>
  <si>
    <t>Customer Engagement Solutions Operating Expenses</t>
  </si>
  <si>
    <t>Customer Engagement Solutions Operating and EBITDA Margins</t>
  </si>
  <si>
    <t>Cyber Intelligence Solutions Revenue Metrics</t>
  </si>
  <si>
    <t>Cyber Intelligence Solutions Gross Profit</t>
  </si>
  <si>
    <t>Cyber Intelligence Solutions Operating Expenses</t>
  </si>
  <si>
    <t>Consolidated Operating &amp; EBITDA Margins tab</t>
  </si>
  <si>
    <t>Consolidated Operating Expenses</t>
  </si>
  <si>
    <t>Cyber Intelligence Solutions Operating and EBITDA Margins</t>
  </si>
  <si>
    <t>Consolidated Operating and EBITDA Margins</t>
  </si>
  <si>
    <t>Consolidated EPS and Diluted Shares Outstanding</t>
  </si>
  <si>
    <r>
      <t xml:space="preserve">   •</t>
    </r>
    <r>
      <rPr>
        <sz val="13"/>
        <color rgb="FF262A32"/>
        <rFont val="Arial"/>
        <family val="2"/>
      </rPr>
      <t>facilitating the comparison of our financial results and business trends between periods, by excluding certain items that either can vary significantly in amount and frequency, are based upon subjective assumptions, or in certain cases are unplanned for or difficult to forecast,</t>
    </r>
  </si>
  <si>
    <r>
      <t xml:space="preserve">   •</t>
    </r>
    <r>
      <rPr>
        <sz val="13"/>
        <color rgb="FF262A32"/>
        <rFont val="Arial"/>
        <family val="2"/>
      </rPr>
      <t>facilitating the comparison of our financial results and business trends with other technology companies who publish similar non-GAAP measures, and</t>
    </r>
  </si>
  <si>
    <r>
      <t xml:space="preserve">   •</t>
    </r>
    <r>
      <rPr>
        <sz val="13"/>
        <color rgb="FF262A32"/>
        <rFont val="Arial"/>
        <family val="2"/>
      </rPr>
      <t>allowing investors to see and understand key supplementary metrics used by our management to run our business, including for budgeting and forecasting, resource allocation, and compensation matters.</t>
    </r>
  </si>
  <si>
    <r>
      <t xml:space="preserve">   •</t>
    </r>
    <r>
      <rPr>
        <b/>
        <i/>
        <sz val="13"/>
        <color rgb="FF262A32"/>
        <rFont val="Arial"/>
        <family val="2"/>
      </rPr>
      <t xml:space="preserve">Revenue adjustments. </t>
    </r>
    <r>
      <rPr>
        <sz val="13"/>
        <color rgb="FF262A32"/>
        <rFont val="Arial"/>
        <family val="2"/>
      </rPr>
      <t>We exclude from our non-GAAP revenue the impact of fair value adjustments required under GAAP relating to cloud services and customer support contracts acquired in a business acquisition, which would have otherwise been recognized on a stand-alone basis. We believe that it is useful for investors to understand the total amount of revenue that we and the acquired company would have recognized on a stand-alone basis under GAAP, absent the accounting adjustment associated with the business acquisition.  Our non-GAAP revenue also reflects certain adjustments from aligning an acquired company’s revenue recognition policies to our policies.  We believe that our non-GAAP revenue measure helps management and investors understand our revenue trends and serves as a useful measure of ongoing business performance.</t>
    </r>
  </si>
  <si>
    <r>
      <t xml:space="preserve">   •</t>
    </r>
    <r>
      <rPr>
        <b/>
        <i/>
        <sz val="13"/>
        <color rgb="FF262A32"/>
        <rFont val="Arial"/>
        <family val="2"/>
      </rPr>
      <t>Amortization of acquired technology and other acquired intangible assets</t>
    </r>
    <r>
      <rPr>
        <sz val="13"/>
        <color rgb="FF262A32"/>
        <rFont val="Arial"/>
        <family val="2"/>
      </rPr>
      <t>. When we acquire an entity, we are required under GAAP to record the fair values of the intangible assets of the acquired entity and amortize those assets over their useful lives. We exclude the amortization of acquired intangible assets, including acquired technology, from our non-GAAP financial measures because they are inconsistent in amount and frequency and are significantly impacted by the timing and size of acquisitions. We also exclude these amounts to provide easier comparability of pre- and post-acquisition operating results.</t>
    </r>
  </si>
  <si>
    <r>
      <t xml:space="preserve">   •</t>
    </r>
    <r>
      <rPr>
        <b/>
        <i/>
        <sz val="13"/>
        <color rgb="FF262A32"/>
        <rFont val="Arial"/>
        <family val="2"/>
      </rPr>
      <t xml:space="preserve">Stock-based compensation expenses. </t>
    </r>
    <r>
      <rPr>
        <sz val="13"/>
        <color rgb="FF262A32"/>
        <rFont val="Arial"/>
        <family val="2"/>
      </rPr>
      <t>We exclude stock-based compensation expenses related to restricted stock awards, stock bonus programs, bonus share programs, and other stock-based awards from our non-GAAP financial measures. We evaluate our performance both with and without these measures because stock-based compensation is typically a non-cash expense and can vary significantly over time based on the timing, size and nature of awards granted, and is influenced in part by certain factors which are generally beyond our control, such as the volatility of the price of our common stock. In addition, measurement of stock-based compensation is subject to varying valuation methodologies and subjective assumptions, and therefore we believe that excluding stock-based compensation from our non-GAAP financial measures allows for meaningful comparisons of our current operating results to our historical operating results and to other companies in our industry.</t>
    </r>
  </si>
  <si>
    <r>
      <t xml:space="preserve">   •</t>
    </r>
    <r>
      <rPr>
        <b/>
        <i/>
        <sz val="13"/>
        <color rgb="FF262A32"/>
        <rFont val="Arial"/>
        <family val="2"/>
      </rPr>
      <t xml:space="preserve">Unrealized gains and losses on certain derivatives, net.  </t>
    </r>
    <r>
      <rPr>
        <sz val="13"/>
        <color rgb="FF262A32"/>
        <rFont val="Arial"/>
        <family val="2"/>
      </rPr>
      <t>We exclude from our non-GAAP financial measures unrealized gains and losses on certain foreign currency derivatives which are not designated as hedges under accounting guidance. We exclude unrealized gains and losses on foreign currency derivatives that serve as economic hedges against variability in the cash flows of recognized assets or liabilities, or of forecasted transactions. These contracts, if designated as hedges under accounting guidance, would be considered “cash flow” hedges.  These unrealized gains and losses are excluded from our non-GAAP financial measures because they are non-cash transactions which are highly variable from period to period. Upon settlement of these foreign currency derivatives, any realized gain or loss is included in our non-GAAP financial measures.</t>
    </r>
  </si>
  <si>
    <r>
      <t xml:space="preserve">   •</t>
    </r>
    <r>
      <rPr>
        <b/>
        <i/>
        <sz val="13"/>
        <color rgb="FF262A32"/>
        <rFont val="Arial"/>
        <family val="2"/>
      </rPr>
      <t xml:space="preserve">Acquisition expenses, net. </t>
    </r>
    <r>
      <rPr>
        <sz val="13"/>
        <color rgb="FF262A32"/>
        <rFont val="Arial"/>
        <family val="2"/>
      </rPr>
      <t>In connection with acquisition activity (including with respect to acquisitions that are not consummated), we incur expenses, including legal, accounting, and other professional fees, integration costs, changes in the fair value of contingent consideration obligations, and other costs.  Integration costs may consist of information technology expenses as systems are integrated across the combined entity, consulting expenses, marketing expenses, and professional fees, as well as non-cash charges to write-off or impair the value of redundant assets.  We exclude these expenses from our non-GAAP financial measures because they are unpredictable, can vary based on the size and complexity of each transaction, and are unrelated to our continuing operations or to the continuing operations of the acquired businesses.</t>
    </r>
  </si>
  <si>
    <r>
      <t xml:space="preserve">   •</t>
    </r>
    <r>
      <rPr>
        <b/>
        <i/>
        <sz val="13"/>
        <color rgb="FF262A32"/>
        <rFont val="Arial"/>
        <family val="2"/>
      </rPr>
      <t xml:space="preserve">Restructuring expenses. </t>
    </r>
    <r>
      <rPr>
        <sz val="13"/>
        <color rgb="FF262A32"/>
        <rFont val="Arial"/>
        <family val="2"/>
      </rPr>
      <t>We exclude restructuring expenses from our non-GAAP financial measures, which include employee termination costs, facility exit costs, certain professional fees, asset impairment charges, and other costs directly associated with resource realignments incurred in reaction to changing strategies or business conditions. All of these costs can vary significantly in amount and frequency based on the nature of the actions as well as the changing needs of our business and we believe that excluding them provides easier comparability of pre- and post-restructuring operating results.</t>
    </r>
  </si>
  <si>
    <t xml:space="preserve">Customer Engagement Solutions Summary Metrics </t>
  </si>
  <si>
    <t>Stock-based compensation expenses (1)</t>
  </si>
  <si>
    <t>Shared support expenses allocation (2)</t>
  </si>
  <si>
    <t>Acquisition expenses, net (3)</t>
  </si>
  <si>
    <t>Restructuring expenses (3)</t>
  </si>
  <si>
    <t>Stock-based compensation expenses (4)</t>
  </si>
  <si>
    <t>Shared support service allocation (5)</t>
  </si>
  <si>
    <t>Acquisition expenses, net (6)</t>
  </si>
  <si>
    <t>Restructuring expenses (6)</t>
  </si>
  <si>
    <t>Impairment charges (6)</t>
  </si>
  <si>
    <t>Other adjustments (6)</t>
  </si>
  <si>
    <t>Depreciation and amortization (7)</t>
  </si>
  <si>
    <t xml:space="preserve">Estimated Fully Allocated EBITDA </t>
  </si>
  <si>
    <t xml:space="preserve">   Estimated Fully Allocated EBITDA Margin</t>
  </si>
  <si>
    <t xml:space="preserve">Shared Support Metrics
</t>
  </si>
  <si>
    <t>Shared Support Expenses**</t>
  </si>
  <si>
    <t>Consolidated Other Expense, Tax and Net Income</t>
  </si>
  <si>
    <t>Consolidated Debt</t>
  </si>
  <si>
    <t>CIS Operating Expenses tab</t>
  </si>
  <si>
    <t>CIS Operating &amp; EBITDA Margins tab</t>
  </si>
  <si>
    <t>CES Operating Expenses tab</t>
  </si>
  <si>
    <t>CES Operating &amp; EBITDA Margins tab</t>
  </si>
  <si>
    <t>Total Revenue</t>
  </si>
  <si>
    <t>Revenue</t>
  </si>
  <si>
    <t xml:space="preserve">**Shared Support Expenses include certain operating expenses that are provided by shared resources or are otherwise generally not controlled by segment management. The majority of which are for administrative support functions, such as information technology, human resources, finance, legal, and other general corporate support, and for occupancy expenses. These expenses also include procurement, manufacturing support, and logistics expenses.  </t>
  </si>
  <si>
    <t>Estimated Fully Allocated Research and Development, net</t>
  </si>
  <si>
    <t xml:space="preserve">Estimated Fully Allocated Selling, General and Administrative </t>
  </si>
  <si>
    <t>Estimated Fully Allocated Gross Profit</t>
  </si>
  <si>
    <t xml:space="preserve">   Estimated Fully Allocated Gross Margin %</t>
  </si>
  <si>
    <t xml:space="preserve">    Estimated fully allocated non-GAAP gross margin</t>
  </si>
  <si>
    <t>Estimated fully allocated non-GAAP gross profit</t>
  </si>
  <si>
    <t>Estimated fully allocated non-GAAP research and development, net</t>
  </si>
  <si>
    <t>Estimated fully allocated non-GAAP operating income</t>
  </si>
  <si>
    <t xml:space="preserve">   Estimated fully allocated non-GAAP  operating margin</t>
  </si>
  <si>
    <t xml:space="preserve">   Estimated fully allocated non-GAAP gross margin</t>
  </si>
  <si>
    <t>Estimated fully non-GAAP allocated operating income</t>
  </si>
  <si>
    <t xml:space="preserve">   Estimated fully allocated non-GAAP operating margin</t>
  </si>
  <si>
    <t xml:space="preserve">Note: Verint’s business model utilizes shared support services across our Customer Engagement and Cyber Intelligence segments. The purpose of using the term “Estimated Fully Allocated” reflects our best effort to reasonably allocate certain operating expenses that are provided by shared resources or are otherwise generally not controlled by segment management, in a manner that approximates how those services are actually consumed. The majority of these expenses are for administrative support functions, such as information technology, human resources, finance, legal, and other general corporate support, and for occupancy expenses. These expenses also include procurement, manufacturing support, and logistics expenses.  </t>
  </si>
  <si>
    <t>Note: Verint’s business model utilizes shared support services across our Customer Engagement and Cyber Intelligence segments. The purpose of using the term “Estimated Fully Allocated” reflects our best effort to reasonably allocate certain operating expenses that are provided by shared resources or are otherwise generally not controlled by segment management. Please see the definition of Shared Support Expenses on this tab for examples of these associated expenses.</t>
  </si>
  <si>
    <t>Reported Revenue Growth</t>
  </si>
  <si>
    <t>Constant Currency Revenue Growth</t>
  </si>
  <si>
    <t>Reported period-over-period revenue growth</t>
  </si>
  <si>
    <t>% impact from change in foreign currency exchange rates</t>
  </si>
  <si>
    <t>Constant currency period-over-period revenue growth</t>
  </si>
  <si>
    <t>Customer Engagement Solutions Constant Currency</t>
  </si>
  <si>
    <t>Cyber Intelligence Solutions Constant Currency</t>
  </si>
  <si>
    <t>Consolidated Constant Currency</t>
  </si>
  <si>
    <t>Revenue for the three months ended prior period</t>
  </si>
  <si>
    <t>Revenue for the three months ended current period</t>
  </si>
  <si>
    <t>CES Constant Currency tab</t>
  </si>
  <si>
    <t>CIS Constant Currency tab</t>
  </si>
  <si>
    <t>Growth  Metrics</t>
  </si>
  <si>
    <t>New SaaS ACV Growth YoY</t>
  </si>
  <si>
    <t>Reported Revenue Growth YoY</t>
  </si>
  <si>
    <t>Constant Currency Revenue Growth YoY</t>
  </si>
  <si>
    <t xml:space="preserve">   Cloud</t>
  </si>
  <si>
    <t xml:space="preserve">   Perpetual</t>
  </si>
  <si>
    <t xml:space="preserve">   Support </t>
  </si>
  <si>
    <t xml:space="preserve">  Optional Managed Services Revenue</t>
  </si>
  <si>
    <t>SaaS Revenue Growth YoY</t>
  </si>
  <si>
    <t>Non-GAAP/        Operating Metric</t>
  </si>
  <si>
    <t>Cloud Revenue Growth YoY</t>
  </si>
  <si>
    <t>Table of Contents</t>
  </si>
  <si>
    <t>Consolidated Revenue tab</t>
  </si>
  <si>
    <t>Consolidated tabs</t>
  </si>
  <si>
    <t>Summary Metrics</t>
  </si>
  <si>
    <t>Gross Profit</t>
  </si>
  <si>
    <t>Operating &amp; EBITDA Margins</t>
  </si>
  <si>
    <t>Constant Currency</t>
  </si>
  <si>
    <t>Operating Expenses</t>
  </si>
  <si>
    <t>Other Expense, Tax &amp; Net Income</t>
  </si>
  <si>
    <t>EPS and Diluted Shares Outstanding</t>
  </si>
  <si>
    <t>Debt</t>
  </si>
  <si>
    <t>Cloud Metrics</t>
  </si>
  <si>
    <t xml:space="preserve">Gross Profit </t>
  </si>
  <si>
    <t>Customer Engagement Solutions Table of Contents</t>
  </si>
  <si>
    <t>Tabs</t>
  </si>
  <si>
    <t>Cyber Intelligence Solutions Table of Contents</t>
  </si>
  <si>
    <t>Customer Engagement Solutions tabs</t>
  </si>
  <si>
    <t>Cyber Intelligence Solutions tabs</t>
  </si>
  <si>
    <t>Professional services revenue - GAAP</t>
  </si>
  <si>
    <t>Professional services revenue - non-GAAP</t>
  </si>
  <si>
    <t xml:space="preserve">   Perpetual revenue - GAAP</t>
  </si>
  <si>
    <t xml:space="preserve">   Estimated perpetual revenue adjustments</t>
  </si>
  <si>
    <t xml:space="preserve">   Perpetual revenue - non-GAAP</t>
  </si>
  <si>
    <t>Revenue for the current period at constant currency is calculated by translating current-period GAAP or non-GAAP foreign currency revenue (as applicable) into U.S. dollars using average foreign currency exchange rates for the same prior period rather than actual current-period foreign currency exchange rates.</t>
  </si>
  <si>
    <t>(10)</t>
  </si>
  <si>
    <t>Revenue for the three months ended current period at constant currency (8)</t>
  </si>
  <si>
    <t>Revenue for the three months ended current period at constant currency (10)</t>
  </si>
  <si>
    <t>*Segment Expenses include expenses incurred directly by our two segments.</t>
  </si>
  <si>
    <t>Supplemental Information About Non-GAAP Financial Measures - Consolidated</t>
  </si>
  <si>
    <t>Footnotes - Consolidated</t>
  </si>
  <si>
    <t>Cyber Intelligence Recurring and Nonrecurring Revenue Metrics</t>
  </si>
  <si>
    <t>Recurring revenue, on both a GAAP and non-GAAP basis, primarily consists of initial and renewal support, subscription software licenses, and SaaS in certain limited transactions.</t>
  </si>
  <si>
    <t>Nonrecurring revenue, on both a GAAP and non-GAAP basis, primarily consists of our perpetual licenses, long-term projects including software customizations that are recognized over time using a percentage of completion (“POC”) method, consulting, implementation and installation services, training, and hardware.</t>
  </si>
  <si>
    <t>We believe that recurring and nonrecurring revenue provide investors with useful insight into the nature and sustainability of our revenue streams. The recurrence of these revenue streams in future periods depends on a number of factors including contractual periods and customers' renewal decisions. Please see “Revenue adjustments” above for an explanation for why we present these revenue numbers on both a GAAP and non-GAAP basis.</t>
  </si>
  <si>
    <t>Supplemental Information About Constant Currency</t>
  </si>
  <si>
    <t xml:space="preserve">Because we operate on a global basis and transact business in many currencies, fluctuations in foreign currency exchange rates can affect our consolidated U.S. dollar operating results. To facilitate the assessment of our performance excluding the effect of foreign currency exchange rate fluctuations, we calculate our GAAP and non-GAAP revenue, cost of revenue, and operating expenses on both an as-reported basis and a constant currency basis, allowing for comparison of results between periods as if foreign currency exchange rates had remained constant.  We perform our constant currency calculations by translating current-period foreign currency results into U.S. dollars using prior-period average foreign currency exchange rates or hedge rates, as applicable, rather than current period exchange rates. We believe that constant currency measures, which exclude the impact of changes in foreign currency exchange rates, facilitate the assessment of underlying business trends.
Unless otherwise indicated, our financial outlook for revenue, operating margin, and diluted earnings per share, which is provided on a non-GAAP basis, reflects foreign currency exchange rates approximately consistent with rates in effect when the outlook is provided.
We also incur foreign exchange gains and losses resulting from the revaluation and settlement of monetary assets and liabilities that are denominated in currencies other than the entity’s functional currency. We periodically report our historical non-GAAP diluted net income per share both inclusive and exclusive of these net foreign exchange gains or losses. Our financial outlook for diluted earnings per share includes net foreign exchange gains or losses incurred to date, if any, but does not include potential future gains or losses.
</t>
  </si>
  <si>
    <t>Optional Managed Services is recurring services that are intended to improve our customers operations and reduce expenses.</t>
  </si>
  <si>
    <t>Footnotes - Customer Engagement</t>
  </si>
  <si>
    <t>Footnotes - Cyber Intelligence</t>
  </si>
  <si>
    <t>Supplemental Information About Non-GAAP Financial Measures - Cyber Intelligence</t>
  </si>
  <si>
    <t>Estimated Fully Allocated Gross Profit Growth YoY</t>
  </si>
  <si>
    <t>Software (includes cloud and support) - GAAP</t>
  </si>
  <si>
    <t>Estimated software (includes cloud and support) revenue adjustments</t>
  </si>
  <si>
    <t>Software (includes cloud and support) revenue - non-GAAP</t>
  </si>
  <si>
    <t>% of Revenue from Software (includes cloud and support)</t>
  </si>
  <si>
    <t>% of Revenue from Software (includes cloud and support) that is Recurring</t>
  </si>
  <si>
    <t>Supplemental Information About Non-GAAP Financial Measures and Operating Metrics - Customer Engagement</t>
  </si>
  <si>
    <t>* Software (includes cloud and support) includes software licenses, appliances, SaaS and optional managed services.</t>
  </si>
  <si>
    <t>New SaaS Annual Contract Value (ACV) includes the annualized contract value of all new SaaS contracts received within the period; in cases where SaaS is offered to partners through usage-based contracts, we include the incremental value of usage contracts over a rolling four quarters.</t>
  </si>
  <si>
    <r>
      <t>T</t>
    </r>
    <r>
      <rPr>
        <sz val="13"/>
        <color rgb="FF262A32"/>
        <rFont val="Arial"/>
        <family val="2"/>
      </rPr>
      <t xml:space="preserve">o conform with the presentation described in footnote 2 of our April 30, 2019 and July 31, 2019 Form 10-Q, the classification of Customer Engagement unbundled SaaS revenue for the three months ended April 30, 2018, July 31, 2018, October 31, 2018 and January 31, 2019 and the year ended January 31, 2018 has been updated to reflect unbundled SaaS revenue which had previously been presented within perpetual and professional services revenue. </t>
    </r>
  </si>
  <si>
    <t xml:space="preserve">To conform with the presentation described in footnote 2 of our April 30, 2019 and July 31, 2019 Form 10-Q, the classification of Customer Engagement unbundled SaaS revenue for the three months ended April 30, 2018, July 31, 2018, October 31, 2018 and January 31, 2019 and the year ended January 31, 2018 has been updated to reflect cloud revenue which had previously been presented within perpetual and professional services revenue. </t>
  </si>
  <si>
    <t>GAAP (Benefit) Provision for income taxes</t>
  </si>
  <si>
    <t>GAAP pre-tax income (Income/loss before provision (benefit) income taxes)</t>
  </si>
  <si>
    <t>GAAP effective income tax rate</t>
  </si>
  <si>
    <t>Non-GAAP pre tax income</t>
  </si>
  <si>
    <t>Non GAAP effective income tax rate</t>
  </si>
  <si>
    <t>1/31/2020</t>
  </si>
  <si>
    <t>Separation expenses (8)</t>
  </si>
  <si>
    <t>Separation expenses (6)</t>
  </si>
  <si>
    <t>Separation expenses</t>
  </si>
  <si>
    <t>Estimated fully allocated non-GAAP selling, general and administrative expenses</t>
  </si>
  <si>
    <t>Year-over-Year Growth</t>
  </si>
  <si>
    <t xml:space="preserve">  SaaS Bundled Revenue</t>
  </si>
  <si>
    <t xml:space="preserve">  SaaS Unbundled Revenue</t>
  </si>
  <si>
    <t>Cloud Detail</t>
  </si>
  <si>
    <t>Bookings Metrics</t>
  </si>
  <si>
    <t>(11)</t>
  </si>
  <si>
    <t>Recurring Revenue Mix</t>
  </si>
  <si>
    <t>% of Revenue that is Software Revenue</t>
  </si>
  <si>
    <t>4/30/2020</t>
  </si>
  <si>
    <t xml:space="preserve">Three Months Ended </t>
  </si>
  <si>
    <t>Software (includes cloud and support) includes software licenses, appliances, SaaS and optional managed services. Recurring Software Revenue includes SaaS, optional managed services and support revenue.</t>
  </si>
  <si>
    <t>7/31/2020</t>
  </si>
  <si>
    <t>Other Adjustments (8)</t>
  </si>
  <si>
    <t>Other Adjustments (6)</t>
  </si>
  <si>
    <t>Net (Loss) Income Attributable to Verint Systems Inc. Common Shares Reconciliation</t>
  </si>
  <si>
    <t>GAAP net (loss) income attributable to Verint Systems Inc. common shares</t>
  </si>
  <si>
    <t>Non-GAAP net income attributable to Verint Systems Inc.common shares</t>
  </si>
  <si>
    <t>Expenses and losses on debt modification or retirement</t>
  </si>
  <si>
    <r>
      <t xml:space="preserve">   • </t>
    </r>
    <r>
      <rPr>
        <b/>
        <i/>
        <sz val="13"/>
        <color rgb="FF262A32"/>
        <rFont val="Arial"/>
        <family val="2"/>
      </rPr>
      <t xml:space="preserve">Expenses and losses on debt modification or retirement. </t>
    </r>
    <r>
      <rPr>
        <sz val="13"/>
        <color rgb="FF262A32"/>
        <rFont val="Arial"/>
        <family val="2"/>
      </rPr>
      <t>We exclude from our non-GAAP financial measures losses on early retirements of debt attributable to refinancing or repaying our debt, and expenses incurred to modify debt terms, because we believe they are not reflective of our ongoing operations.</t>
    </r>
  </si>
  <si>
    <t>10/31/2020</t>
  </si>
  <si>
    <t>Separation expenses (5)</t>
  </si>
  <si>
    <t>Impairment charges (5)</t>
  </si>
  <si>
    <r>
      <t xml:space="preserve">   •</t>
    </r>
    <r>
      <rPr>
        <b/>
        <i/>
        <sz val="13"/>
        <color rgb="FF262A32"/>
        <rFont val="Arial"/>
        <family val="2"/>
      </rPr>
      <t>Impairment charges and other</t>
    </r>
    <r>
      <rPr>
        <b/>
        <sz val="13"/>
        <color rgb="FF262A32"/>
        <rFont val="Arial"/>
        <family val="2"/>
      </rPr>
      <t xml:space="preserve"> </t>
    </r>
    <r>
      <rPr>
        <b/>
        <i/>
        <sz val="13"/>
        <color rgb="FF262A32"/>
        <rFont val="Arial"/>
        <family val="2"/>
      </rPr>
      <t xml:space="preserve">adjustments. </t>
    </r>
    <r>
      <rPr>
        <sz val="13"/>
        <color rgb="FF262A32"/>
        <rFont val="Arial"/>
        <family val="2"/>
      </rPr>
      <t xml:space="preserve">We exclude from our non-GAAP financial measures asset impairment charges (other than those associated with restructuring or acquisition activity), rent expense for redundant facilities, gains or losses on sales of property, gains or losses on settlements of certain legal matters, and certain professional fees unrelated to our ongoing operations, including fees and expenses (or recoveries) related to a shareholder proxy contest that was settled in June 2019 of ($1.3) million during the nine months ended October 31, 2020 and $7.8 million for the year ended January 31, 2019, all of which are unusual in nature and can vary significantly in amount and frequency.
</t>
    </r>
  </si>
  <si>
    <t>Separation expenses (3)</t>
  </si>
  <si>
    <t>Impairment charges (3)</t>
  </si>
  <si>
    <r>
      <t xml:space="preserve">   •</t>
    </r>
    <r>
      <rPr>
        <b/>
        <i/>
        <sz val="13"/>
        <color rgb="FF262A32"/>
        <rFont val="Arial"/>
        <family val="2"/>
      </rPr>
      <t xml:space="preserve">Amortization of convertible note discount. </t>
    </r>
    <r>
      <rPr>
        <sz val="13"/>
        <color rgb="FF262A32"/>
        <rFont val="Arial"/>
        <family val="2"/>
      </rPr>
      <t>Our non-GAAP financial measures exclude the amortization of the imputed discount on our convertible notes. Under GAAP, certain convertible debt instruments that may be settled in cash upon conversion are required to be bifurcated into separate liability (debt) and equity (conversion option) components in a manner that reflects the issuer’s assumed non-convertible debt borrowing rate. For GAAP purposes, we are required to recognize imputed interest expense on the difference between our assumed non-convertible debt borrowing rate and the coupon rate on our 1.50% convertible notes. This difference is excluded from our non-GAAP financial measures because we believe that this expense is based upon subjective assumptions and does not reflect the cash cost of our convertible debt.</t>
    </r>
  </si>
  <si>
    <t>Customer Engagement Revenue Metrics and Operating Metrics</t>
  </si>
  <si>
    <t>1/31/2021</t>
  </si>
  <si>
    <t>Represents the stock-based compensation expenses applicable to research and development, net and selling, general and administrative, allocated approximately proportional to our non-GAAP segment revenue for the annual prior full year ended, which we believe provides a reasonable approximation for purposes of understanding the relative non-GAAP operating margins of our two businesses.</t>
  </si>
  <si>
    <t>Represents the portion of our acquisition expenses, net, restructuring expenses, separation expenses and impairment charges applicable to cost of revenue, allocated approximately proportional to our non-GAAP segment revenue for the annual prior full year ended, which we believe provides a reasonable approximation for purposes of understanding the relative GAAP and non-GAAP gross margins of our two businesses.</t>
  </si>
  <si>
    <t>Represents the portion of our shared support expenses (as disclosed in segment footnote in Form 10-Qs and 10-Ks) applicable to cost of revenue, allocated approximately proportional to our non-GAAP segment revenue for the annual prior full year ended, which we believe provides a reasonable approximation for purposes of understanding the relative GAAP and non-GAAP gross margins of our two businesses.</t>
  </si>
  <si>
    <t>Represents the stock-based compensation expenses applicable to cost of revenue, allocated approximately proportional to our segment operations and service expense wage for each segment for the annual prior full year ended, which we believe provides a reasonable approximation for purposes of understanding the relative GAAP and non-GAAP gross margins of our two businesses.</t>
  </si>
  <si>
    <t>Represents our shared support expenses (as disclosed in segment footnote in Form 10-Qs and 10-Ks), including general and administrative shared services acquisition expenses, net, restructuring expenses, separation expenses, impairment charges and other adjustments, allocated approximately proportional to our non-GAAP segment revenue for the annual prior full year ended, which we believe provides a reasonable approximation for purposes of understanding the relative non-GAAP operating margins of our two businesses.</t>
  </si>
  <si>
    <t>Represents the portion of our acquisition expenses, net, restructuring expenses, separation expenses, impairment charges and other adjustments, allocated approximately proportional to our annual non-GAAP segment revenue prior full year ended, which we believe provides a reasonable approximation for purposes of understanding the relative GAAP and non-GAAP gross margins of our two businesses.</t>
  </si>
  <si>
    <t>Represents certain depreciation and amortization expenses, which are otherwise included in our non-GAAP operating income, allocated approximately proportional to our non-GAAP segment revenue for the prior full year ended, which we believe provides a reasonable approximation for purposes of understanding the relative adjusted EBITDA of our two businesses.</t>
  </si>
  <si>
    <t>(12)</t>
  </si>
  <si>
    <t xml:space="preserve">   Professional Services</t>
  </si>
  <si>
    <t xml:space="preserve">Revenue Metrics </t>
  </si>
  <si>
    <t>Adjusted EBITDA is a non-GAAP measure defined as net income (loss) before interest expense, interest income, income taxes, depreciation expense, amortization expense, revenue adjustments, restructuring expenses, acquisition expenses, and other expenses excluded from our non-GAAP financial measures as described above. We believe that adjusted EBITDA is also commonly used by investors to evaluate operating performance between companies because it helps reduce variability caused by differences in capital structures, income taxes, stock-based compensation, accounting policies, and depreciation and amortization policies. Adjusted EBITDA is also used by credit rating agencies, lenders, and other parties to evaluate our creditworthiness.</t>
  </si>
  <si>
    <t>Change in fair value of future tranche right (9)</t>
  </si>
  <si>
    <t>Estimated professional services revenue adjustments</t>
  </si>
  <si>
    <t>Adjusted net income attributable to Verint Systems Inc. common shares excluding future tranche right revaluation</t>
  </si>
  <si>
    <t>In the year ended January 31, 2021, we recorded a non-cash Future Tranche Right revaluation loss of $56.1 million. The non-cash charge for the period relates to the mark-to-market adjustment of the Future Tranche Right (right to purchase Series B Preferred Stock by the Apax Investor at a future date), issued in connection with the closing of the Series A Preferred Stock on May 7, 2020. The change in fair value was primarily due to a significant increase in our stock price during the period. The Future Tranche Right will be remeasured at each reporting period until the redemption feature is exercised in connection with the sale and issuance of the Series B Preferred Stock, which is expected to occur during our first fiscal quarter ending April 30, 2021. Our diluted net income per share for the year ended January 31, 2021 would have been $0.85 higher without this non-cash charge.</t>
  </si>
  <si>
    <t>Future tranche right revaluation (9)</t>
  </si>
  <si>
    <t>Consolidated Additional Information Regarding Apax Series B Investment</t>
  </si>
  <si>
    <t>Additional Information Regarding Apax Series B Investment</t>
  </si>
  <si>
    <t>The following tables include reconciliations of certain financial measures not prepared in accordance with Generally Accepted Accounting Principles (“GAAP”), consisting of non-GAAP revenue, non-GAAP software revenue (includes cloud and support), non-GAAP perpetual revenue, non-GAAP support revenue, non-GAAP professional services revenue, non-GAAP recurring revenue, non-GAAP nonrecurring revenue, non-GAAP cloud revenue, non-GAAP SaaS revenue, non-GAAP bundled SaaS revenue, non-GAAP unbundled SaaS revenue, non-GAAP optional managed services revenue, estimated GAAP fully allocated cost of revenue, estimated GAAP and non-GAAP fully allocated gross profit and gross margins, estimated GAAP and non-GAAP fully allocated research and development, net, estimated GAAP and non-GAAP fully allocated selling, general and administrative expenses, estimated GAAP and non-GAAP fully allocated operating income and operating margins, non-GAAP other income (expense), net, non-GAAP provision (benefit) for income taxes and non-GAAP effective income tax rate, non-GAAP net income attributable to Verint Systems Inc. common shares, non-GAAP diluted net income per common share attributable to Verint Systems Inc., estimated fully allocated adjusted EBITDA and adjusted EBITDA margins, net debt, additional information regarding Apax Series B investment, non-GAAP segment expenses, non-GAAP shared support expenses and constant currency measures. The tables above include a reconciliation of each non-GAAP financial measure for completed periods presented in this press release to the most directly comparable GAAP financial measure.</t>
  </si>
  <si>
    <t>Addl Info Apax Investment</t>
  </si>
  <si>
    <t>As our bookings mix has rapidly shifted to cloud, we are now calculating the conversion factor based on the in-period mix. The conversion factor was 2.0x, 1.9x and 1.9x for the years ended January 31, 2019, 2020 and 2021, respectively. Historically, we used in our dashboard a conversion factor of 2.0x which was based on our historical mix and represented a good approximation.</t>
  </si>
  <si>
    <t xml:space="preserve">      Unbundled SaaS revenue - non-GAAP (12)</t>
  </si>
  <si>
    <t xml:space="preserve">      Unbundled SaaS revenue - GAAP (12)</t>
  </si>
  <si>
    <t>Cloud revenue primarily consists of SaaS and optional managed services.</t>
  </si>
  <si>
    <t xml:space="preserve">SaaS revenue includes bundled SaaS, software with standard managed services and unbundled SaaS (including associated support) that we account for as term licenses where managed services are purchased separately. </t>
  </si>
  <si>
    <t>As our bookings mix has rapidly shifted to cloud, we are now including support revenue associated with unbundled SaaS within SaaS. In order to conform with this presentation, unbundled SaaS revenue for the quarters ended April 30, 2020, July 31, 2020 and October 31, 2020 have been updated to reflect $2.0 million, $2.4 million and $2.8 million, respectively and the years ended January 31, 2020 and 2019 has been updated to reflect $4.7 million and $1.8 million, respectively, of unbundled SaaS support revenue which had previously been presented within support revenue.</t>
  </si>
  <si>
    <r>
      <t xml:space="preserve">  • </t>
    </r>
    <r>
      <rPr>
        <b/>
        <i/>
        <sz val="13"/>
        <rFont val="Arial"/>
        <family val="2"/>
      </rPr>
      <t>Change in fair value of future tranche right.</t>
    </r>
    <r>
      <rPr>
        <b/>
        <sz val="13"/>
        <rFont val="Arial"/>
        <family val="2"/>
      </rPr>
      <t xml:space="preserve"> </t>
    </r>
    <r>
      <rPr>
        <sz val="13"/>
        <rFont val="Arial"/>
        <family val="2"/>
      </rPr>
      <t>On December 4, 2019, we entered into an Investment Agreement with an affiliate of Apax Partners (the “Apax Investor”), whereby the Apax Investor agreed to make an investment in us of up to $400.0 million of convertible preferred stock. In connection with the Apax Investor’s first $200.0 million investment on May 7, 2020 (for 200,000 shares of Series A Preferred Stock), we determined that our obligation to issue, and the Apax Investor’s obligation to purchase the Series B Preferred Stock in connection with the completion of the spin-off of our Cyber Intelligence Solutions business and other customary closing conditions (the “Future Tranche Right”) meets the definition of a freestanding financial instrument. This Future Tranche Right is reported at fair value as an asset or liability on our consolidated balance sheet and is remeasured at fair value each reporting period until the settlement of the right (at the time of issuance of the Series B Preferred Stock), with changes in its fair value recognized as a non-cash charge or benefit within other income (expense), net on the consolidated statement of operations. We are excluding this change in fair value of the Future Tranche Right from our non-GAAP financial measures because it is unusual in nature, can vary significantly in amount, and is unrelated to our ongoing operations.</t>
    </r>
  </si>
  <si>
    <r>
      <t xml:space="preserve">  </t>
    </r>
    <r>
      <rPr>
        <i/>
        <sz val="13"/>
        <color rgb="FF0079FF"/>
        <rFont val="Arial"/>
        <family val="2"/>
      </rPr>
      <t xml:space="preserve"> •</t>
    </r>
    <r>
      <rPr>
        <b/>
        <i/>
        <sz val="13"/>
        <rFont val="Arial"/>
        <family val="2"/>
      </rPr>
      <t xml:space="preserve">Separation </t>
    </r>
    <r>
      <rPr>
        <b/>
        <i/>
        <sz val="13"/>
        <color theme="1"/>
        <rFont val="Arial"/>
        <family val="2"/>
      </rPr>
      <t xml:space="preserve">expenses. </t>
    </r>
    <r>
      <rPr>
        <sz val="13"/>
        <color theme="1"/>
        <rFont val="Arial"/>
        <family val="2"/>
      </rPr>
      <t>On February 1, 2021, we completed the spin-off of our Cyber Intelligence business into a separate, independent publicly traded company, Cognyte Software Ltd.  We have incurred and expect to incur, significant expenses in connection with the spin-off, including third-party advisory, accounting, legal, consulting, and other similar services related to the separation as well as costs associated with the operational separation of the two businesses, including those related to human resources, brand management, real estate, and information technology (which IT expenses are included in Separation expenses to the extent not capitalized). Separation expenses also include incremental cash income taxes related to the reorganization of legal entities and operations in order to effect the separation. These costs are incremental to our normal operating expenses and are being incurred solely as a result of the separation transaction. Accordingly, we are excluding these separation expenses from our non-GAAP financial measures in order to evaluate our performance on a comparable basis.</t>
    </r>
  </si>
  <si>
    <r>
      <t xml:space="preserve">    •</t>
    </r>
    <r>
      <rPr>
        <b/>
        <i/>
        <sz val="13"/>
        <color rgb="FF262A32"/>
        <rFont val="Arial"/>
        <family val="2"/>
      </rPr>
      <t>Non-GAAP income tax adjustments</t>
    </r>
    <r>
      <rPr>
        <sz val="13"/>
        <color rgb="FF262A32"/>
        <rFont val="Arial"/>
        <family val="2"/>
      </rPr>
      <t>.  We exclude our GAAP provision (benefit) for income taxes from our non-GAAP measures of net income attributable to Verint Systems Inc., and instead include a non-GAAP provision for income taxes, determined by applying a non-GAAP effective income tax rate to our income before provision for income taxes, as adjusted for the non-GAAP items described above.  The non-GAAP effective income tax rate is generally based upon the income taxes we expect to pay in the reporting year. Our GAAP effective income tax rate can vary significantly from year to year as a result of tax law changes, settlements with tax authorities, changes in the geographic mix of earnings including acquisition activity, changes in the projected realizability of deferred tax assets, and other unusual or period-specific events, all of which can vary in size and frequency. We believe that our non-GAAP effective income tax rate removes much of this variability and facilitates meaningful comparisons of operating results across periods. Our non-GAAP effective income tax rates for the year ended January 31, 2021 is 6%, and was 8% for the year ended January 31, 2020, and was 11% for the year ended January 31, 2019. We evaluate our non-GAAP effective income tax rate on an ongoing basis, and it can change from time to time. Our non-GAAP income tax rate can differ materially from our GAAP effective income tax rate.</t>
    </r>
  </si>
  <si>
    <t xml:space="preserve">New Perpetual License Equivalent Bookings are used to normalize between perpetual and SaaS bookings and measure overall software bookings growth. We calculate new perpetual license equivalent bookings by adding to perpetual licenses an amount equal to New SaaS ACV bookings multiplied by a conversion factor that normalizes the mix of bundled and unbundled SaaS and perpetual bookings in a given period. The conversion factor used is based on our order mix and may change from period to period. The conversion factor was 2.0x, 1.9x and 1.9x for the years ended January 31, 2019, 2020 and 2021, respectively.  Management uses perpetual license equivalent bookings to understand our performance, including our software bookings growth and SaaS/perpetual license mix. This metric should not be viewed in isolation from other operating metrics that we make available to investors.  </t>
  </si>
  <si>
    <t>% of Software Revenue that is Recurring Revenue*</t>
  </si>
  <si>
    <t>New Perpetual License Equivalent Bookings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</si>
</sst>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4" formatCode="_(&quot;$&quot;* #,##0.00_);_(&quot;$&quot;* \(#,##0.00\);_(&quot;$&quot;* &quot;-&quot;??_);_(@_)"/>
    <numFmt numFmtId="43" formatCode="_(* #,##0.00_);_(* \(#,##0.00\);_(* &quot;-&quot;??_);_(@_)"/>
    <numFmt numFmtId="164" formatCode="_(* #,##0_);_(* \(#,##0\);_(* &quot;-&quot;??_);_(@_)"/>
    <numFmt numFmtId="165" formatCode="_(* #,##0.0_);_(* \(#,##0.0\);_(* &quot;-&quot;??_);_(@_)"/>
    <numFmt numFmtId="166" formatCode="_(&quot;$&quot;* #,##0.0_);_(&quot;$&quot;* \(#,##0.0\);_(&quot;$&quot;* &quot;-&quot;??_);_(@_)"/>
    <numFmt numFmtId="167" formatCode="_(* #,##0.0_);_(* \(#,##0.0\);_(* &quot;-&quot;?_);_(@_)"/>
    <numFmt numFmtId="168" formatCode="0.0%"/>
    <numFmt numFmtId="169" formatCode="_(* #,##0.0_);_(* \(#,##0.0\);_(* &quot;-&quot;_);_(@_)"/>
    <numFmt numFmtId="170" formatCode="&quot;$&quot;#,##0.0_);[Red]\(&quot;$&quot;#,##0.0\)"/>
    <numFmt numFmtId="171" formatCode="#,##0.0"/>
    <numFmt numFmtId="172" formatCode="&quot;$&quot;#,##0.0_);\(&quot;$&quot;#,##0.0\)"/>
    <numFmt numFmtId="173" formatCode="0%_);\(0%\);0%_);@_)"/>
    <numFmt numFmtId="174" formatCode="&quot;$&quot;#,##0.000_);[Red]\(&quot;$&quot;#,##0.000\)"/>
    <numFmt numFmtId="175" formatCode="_(&quot;$&quot;* #,##0.000_);_(&quot;$&quot;* \(#,##0.000\);_(&quot;$&quot;* &quot;-&quot;??_);_(@_)"/>
    <numFmt numFmtId="176" formatCode="0.000%"/>
    <numFmt numFmtId="177" formatCode="_(* #,##0.000_);_(* \(#,##0.000\);_(* &quot;-&quot;??_);_(@_)"/>
    <numFmt numFmtId="178" formatCode="_(* #,##0.00_);_(* \(#,##0.00\);_(* &quot;-&quot;?_);_(@_)"/>
  </numFmts>
  <fonts count="51" x14ac:knownFonts="1">
    <font>
      <sz val="11"/>
      <color theme="1"/>
      <name val="Calibri"/>
      <family val="2"/>
      <scheme val="minor"/>
    </font>
    <font>
      <sz val="10"/>
      <name val="Arial"/>
      <family val="2"/>
    </font>
    <font>
      <sz val="11"/>
      <color theme="1"/>
      <name val="Calibri"/>
      <family val="2"/>
      <scheme val="minor"/>
    </font>
    <font>
      <sz val="8"/>
      <name val="Arial"/>
      <family val="2"/>
    </font>
    <font>
      <sz val="8"/>
      <color theme="1"/>
      <name val="Arial"/>
      <family val="2"/>
    </font>
    <font>
      <b/>
      <u/>
      <sz val="8"/>
      <name val="Arial"/>
      <family val="2"/>
    </font>
    <font>
      <i/>
      <sz val="8"/>
      <color theme="1"/>
      <name val="Arial"/>
      <family val="2"/>
    </font>
    <font>
      <sz val="10"/>
      <color theme="1"/>
      <name val="Arial"/>
      <family val="2"/>
    </font>
    <font>
      <i/>
      <sz val="10"/>
      <color theme="1"/>
      <name val="Arial"/>
      <family val="2"/>
    </font>
    <font>
      <sz val="18"/>
      <name val="Arial"/>
      <family val="2"/>
    </font>
    <font>
      <b/>
      <sz val="12"/>
      <color rgb="FF262A32"/>
      <name val="Arial"/>
      <family val="2"/>
    </font>
    <font>
      <sz val="13"/>
      <color rgb="FF262A32"/>
      <name val="Arial"/>
      <family val="2"/>
    </font>
    <font>
      <i/>
      <sz val="13"/>
      <color rgb="FF262A32"/>
      <name val="Arial"/>
      <family val="2"/>
    </font>
    <font>
      <sz val="11"/>
      <color theme="1"/>
      <name val="Arial"/>
      <family val="2"/>
    </font>
    <font>
      <b/>
      <sz val="11"/>
      <color theme="1"/>
      <name val="Arial"/>
      <family val="2"/>
    </font>
    <font>
      <b/>
      <i/>
      <sz val="12"/>
      <color rgb="FF262A32"/>
      <name val="Arial"/>
      <family val="2"/>
    </font>
    <font>
      <sz val="14"/>
      <color theme="1"/>
      <name val="Arial"/>
      <family val="2"/>
    </font>
    <font>
      <i/>
      <sz val="11"/>
      <color theme="1"/>
      <name val="Arial"/>
      <family val="2"/>
    </font>
    <font>
      <i/>
      <sz val="18"/>
      <name val="Arial"/>
      <family val="2"/>
    </font>
    <font>
      <b/>
      <u/>
      <sz val="13"/>
      <color theme="1"/>
      <name val="Arial"/>
      <family val="2"/>
    </font>
    <font>
      <b/>
      <sz val="11"/>
      <color theme="0"/>
      <name val="Arial"/>
      <family val="2"/>
    </font>
    <font>
      <b/>
      <sz val="15"/>
      <color theme="0"/>
      <name val="Arial"/>
      <family val="2"/>
    </font>
    <font>
      <sz val="10.5"/>
      <color theme="0"/>
      <name val="Arial"/>
      <family val="2"/>
    </font>
    <font>
      <b/>
      <sz val="10.5"/>
      <color theme="0"/>
      <name val="Arial"/>
      <family val="2"/>
    </font>
    <font>
      <b/>
      <sz val="14"/>
      <color theme="1"/>
      <name val="Arial"/>
      <family val="2"/>
    </font>
    <font>
      <sz val="13"/>
      <name val="Arial"/>
      <family val="2"/>
    </font>
    <font>
      <sz val="13"/>
      <color theme="1"/>
      <name val="Arial"/>
      <family val="2"/>
    </font>
    <font>
      <b/>
      <u/>
      <sz val="13"/>
      <name val="Arial"/>
      <family val="2"/>
    </font>
    <font>
      <b/>
      <sz val="13"/>
      <color theme="1"/>
      <name val="Arial"/>
      <family val="2"/>
    </font>
    <font>
      <b/>
      <sz val="13"/>
      <name val="Arial"/>
      <family val="2"/>
    </font>
    <font>
      <sz val="11"/>
      <name val="Arial"/>
      <family val="2"/>
    </font>
    <font>
      <b/>
      <sz val="13"/>
      <color rgb="FF262A32"/>
      <name val="Arial"/>
      <family val="2"/>
    </font>
    <font>
      <b/>
      <i/>
      <sz val="13"/>
      <color rgb="FF262A32"/>
      <name val="Arial"/>
      <family val="2"/>
    </font>
    <font>
      <sz val="13"/>
      <color rgb="FF000000"/>
      <name val="Arial"/>
      <family val="2"/>
    </font>
    <font>
      <u/>
      <sz val="13"/>
      <color theme="1"/>
      <name val="Arial"/>
      <family val="2"/>
    </font>
    <font>
      <sz val="13"/>
      <color rgb="FF0079FF"/>
      <name val="Arial"/>
      <family val="2"/>
    </font>
    <font>
      <b/>
      <sz val="10"/>
      <color theme="0"/>
      <name val="Arial"/>
      <family val="2"/>
    </font>
    <font>
      <u/>
      <sz val="11"/>
      <color theme="10"/>
      <name val="Calibri"/>
      <family val="2"/>
      <scheme val="minor"/>
    </font>
    <font>
      <b/>
      <sz val="15"/>
      <color theme="1"/>
      <name val="Arial"/>
      <family val="2"/>
    </font>
    <font>
      <sz val="15"/>
      <color theme="1"/>
      <name val="Calibri"/>
      <family val="2"/>
      <scheme val="minor"/>
    </font>
    <font>
      <b/>
      <u/>
      <sz val="15"/>
      <color theme="1"/>
      <name val="Calibri"/>
      <family val="2"/>
      <scheme val="minor"/>
    </font>
    <font>
      <u/>
      <sz val="15"/>
      <color theme="10"/>
      <name val="Calibri"/>
      <family val="2"/>
      <scheme val="minor"/>
    </font>
    <font>
      <i/>
      <sz val="13"/>
      <name val="Arial"/>
      <family val="2"/>
    </font>
    <font>
      <b/>
      <i/>
      <sz val="13"/>
      <color theme="1"/>
      <name val="Arial"/>
      <family val="2"/>
    </font>
    <font>
      <sz val="11"/>
      <color theme="0"/>
      <name val="Arial"/>
      <family val="2"/>
    </font>
    <font>
      <b/>
      <i/>
      <sz val="13"/>
      <name val="Arial"/>
      <family val="2"/>
    </font>
    <font>
      <i/>
      <sz val="13"/>
      <color theme="1"/>
      <name val="Arial"/>
      <family val="2"/>
    </font>
    <font>
      <i/>
      <sz val="13"/>
      <color rgb="FF0079FF"/>
      <name val="Arial"/>
      <family val="2"/>
    </font>
    <font>
      <sz val="11"/>
      <name val="Calibri"/>
      <family val="2"/>
      <scheme val="minor"/>
    </font>
    <font>
      <i/>
      <sz val="11"/>
      <name val="Arial"/>
      <family val="2"/>
    </font>
    <font>
      <b/>
      <sz val="11"/>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79FF"/>
        <bgColor indexed="64"/>
      </patternFill>
    </fill>
    <fill>
      <patternFill patternType="solid">
        <fgColor auto="1"/>
        <bgColor indexed="64"/>
      </patternFill>
    </fill>
    <fill>
      <patternFill patternType="solid">
        <fgColor theme="0" tint="-0.249977111117893"/>
        <bgColor indexed="64"/>
      </patternFill>
    </fill>
    <fill>
      <patternFill patternType="solid">
        <fgColor theme="8" tint="0.59999389629810485"/>
        <bgColor indexed="64"/>
      </patternFill>
    </fill>
  </fills>
  <borders count="46">
    <border>
      <left/>
      <right/>
      <top/>
      <bottom/>
      <diagonal/>
    </border>
    <border>
      <left/>
      <right/>
      <top/>
      <bottom style="thin">
        <color theme="0" tint="-0.34998626667073579"/>
      </bottom>
      <diagonal/>
    </border>
    <border>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medium">
        <color rgb="FF000000"/>
      </right>
      <top/>
      <bottom style="thin">
        <color indexed="64"/>
      </bottom>
      <diagonal/>
    </border>
    <border>
      <left style="medium">
        <color rgb="FF000000"/>
      </left>
      <right/>
      <top/>
      <bottom style="thin">
        <color indexed="64"/>
      </bottom>
      <diagonal/>
    </border>
    <border>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style="medium">
        <color rgb="FF000000"/>
      </right>
      <top/>
      <bottom style="thin">
        <color indexed="64"/>
      </bottom>
      <diagonal/>
    </border>
    <border>
      <left style="medium">
        <color rgb="FF000000"/>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rgb="FF000000"/>
      </right>
      <top style="medium">
        <color indexed="64"/>
      </top>
      <bottom/>
      <diagonal/>
    </border>
    <border>
      <left style="medium">
        <color rgb="FF000000"/>
      </left>
      <right style="medium">
        <color indexed="64"/>
      </right>
      <top style="medium">
        <color indexed="64"/>
      </top>
      <bottom style="medium">
        <color rgb="FF000000"/>
      </bottom>
      <diagonal/>
    </border>
    <border>
      <left style="medium">
        <color indexed="64"/>
      </left>
      <right style="medium">
        <color rgb="FF000000"/>
      </right>
      <top/>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bottom style="medium">
        <color indexed="64"/>
      </bottom>
      <diagonal/>
    </border>
    <border>
      <left style="medium">
        <color rgb="FF000000"/>
      </left>
      <right style="medium">
        <color indexed="64"/>
      </right>
      <top style="medium">
        <color rgb="FF000000"/>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indexed="64"/>
      </right>
      <top style="medium">
        <color rgb="FF000000"/>
      </top>
      <bottom style="medium">
        <color indexed="64"/>
      </bottom>
      <diagonal/>
    </border>
    <border>
      <left style="medium">
        <color indexed="64"/>
      </left>
      <right style="medium">
        <color indexed="64"/>
      </right>
      <top style="medium">
        <color indexed="64"/>
      </top>
      <bottom style="medium">
        <color indexed="64"/>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rgb="FF000000"/>
      </right>
      <top/>
      <bottom style="medium">
        <color indexed="64"/>
      </bottom>
      <diagonal/>
    </border>
    <border>
      <left style="medium">
        <color rgb="FF000000"/>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medium">
        <color rgb="FF000000"/>
      </top>
      <bottom/>
      <diagonal/>
    </border>
  </borders>
  <cellStyleXfs count="9">
    <xf numFmtId="0" fontId="0"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1" fillId="0" borderId="0"/>
    <xf numFmtId="0" fontId="37" fillId="0" borderId="0" applyNumberFormat="0" applyFill="0" applyBorder="0" applyAlignment="0" applyProtection="0"/>
  </cellStyleXfs>
  <cellXfs count="381">
    <xf numFmtId="0" fontId="0" fillId="0" borderId="0" xfId="0"/>
    <xf numFmtId="0" fontId="3" fillId="3" borderId="0" xfId="1" applyFont="1" applyFill="1"/>
    <xf numFmtId="0" fontId="3" fillId="2" borderId="0" xfId="1" applyFont="1" applyFill="1"/>
    <xf numFmtId="0" fontId="4" fillId="3" borderId="0" xfId="0" applyFont="1" applyFill="1"/>
    <xf numFmtId="0" fontId="4" fillId="0" borderId="0" xfId="0" applyFont="1"/>
    <xf numFmtId="0" fontId="5" fillId="2" borderId="0" xfId="1" applyFont="1" applyFill="1"/>
    <xf numFmtId="164" fontId="3" fillId="2" borderId="0" xfId="2" applyNumberFormat="1" applyFont="1" applyFill="1"/>
    <xf numFmtId="164" fontId="3" fillId="3" borderId="0" xfId="2" applyNumberFormat="1" applyFont="1" applyFill="1"/>
    <xf numFmtId="0" fontId="4" fillId="3" borderId="0" xfId="0" applyFont="1" applyFill="1" applyBorder="1"/>
    <xf numFmtId="0" fontId="3" fillId="3" borderId="0" xfId="1" applyFont="1" applyFill="1" applyBorder="1"/>
    <xf numFmtId="164" fontId="3" fillId="3" borderId="0" xfId="2" applyNumberFormat="1" applyFont="1" applyFill="1" applyBorder="1"/>
    <xf numFmtId="0" fontId="6" fillId="3" borderId="0" xfId="0" applyFont="1" applyFill="1"/>
    <xf numFmtId="168" fontId="6" fillId="3" borderId="0" xfId="5" applyNumberFormat="1" applyFont="1" applyFill="1"/>
    <xf numFmtId="164" fontId="4" fillId="3" borderId="0" xfId="6" applyNumberFormat="1" applyFont="1" applyFill="1"/>
    <xf numFmtId="0" fontId="4" fillId="0" borderId="0" xfId="0" applyFont="1" applyBorder="1"/>
    <xf numFmtId="165" fontId="3" fillId="3" borderId="0" xfId="2" applyNumberFormat="1" applyFont="1" applyFill="1" applyBorder="1"/>
    <xf numFmtId="165" fontId="3" fillId="2" borderId="0" xfId="2" applyNumberFormat="1" applyFont="1" applyFill="1" applyBorder="1"/>
    <xf numFmtId="0" fontId="7" fillId="3" borderId="0" xfId="0" applyFont="1" applyFill="1"/>
    <xf numFmtId="0" fontId="8" fillId="3" borderId="0" xfId="0" applyFont="1" applyFill="1"/>
    <xf numFmtId="169" fontId="8" fillId="3" borderId="0" xfId="0" applyNumberFormat="1" applyFont="1" applyFill="1"/>
    <xf numFmtId="0" fontId="9" fillId="3" borderId="3" xfId="0" applyFont="1" applyFill="1" applyBorder="1" applyAlignment="1">
      <alignment horizontal="center" vertical="top" wrapText="1"/>
    </xf>
    <xf numFmtId="170" fontId="11" fillId="3" borderId="3" xfId="0" applyNumberFormat="1" applyFont="1" applyFill="1" applyBorder="1" applyAlignment="1">
      <alignment horizontal="center" vertical="center" wrapText="1" readingOrder="1"/>
    </xf>
    <xf numFmtId="168" fontId="12" fillId="3" borderId="3" xfId="5" applyNumberFormat="1" applyFont="1" applyFill="1" applyBorder="1" applyAlignment="1">
      <alignment horizontal="center" vertical="center" wrapText="1" readingOrder="1"/>
    </xf>
    <xf numFmtId="168" fontId="12" fillId="3" borderId="3" xfId="0" applyNumberFormat="1" applyFont="1" applyFill="1" applyBorder="1" applyAlignment="1">
      <alignment horizontal="center" vertical="center" wrapText="1" readingOrder="1"/>
    </xf>
    <xf numFmtId="0" fontId="13" fillId="3" borderId="0" xfId="0" applyFont="1" applyFill="1"/>
    <xf numFmtId="0" fontId="14" fillId="3" borderId="0" xfId="0" applyFont="1" applyFill="1"/>
    <xf numFmtId="170" fontId="11" fillId="3" borderId="12" xfId="0" applyNumberFormat="1" applyFont="1" applyFill="1" applyBorder="1" applyAlignment="1">
      <alignment horizontal="center" vertical="center" wrapText="1" readingOrder="1"/>
    </xf>
    <xf numFmtId="0" fontId="15" fillId="3" borderId="0" xfId="0" applyFont="1" applyFill="1" applyBorder="1" applyAlignment="1">
      <alignment horizontal="center" vertical="center" textRotation="90" wrapText="1" readingOrder="1"/>
    </xf>
    <xf numFmtId="170" fontId="11" fillId="3" borderId="0" xfId="0" applyNumberFormat="1" applyFont="1" applyFill="1" applyBorder="1" applyAlignment="1">
      <alignment horizontal="center" vertical="center" wrapText="1" readingOrder="1"/>
    </xf>
    <xf numFmtId="0" fontId="11" fillId="3" borderId="0" xfId="0" applyFont="1" applyFill="1" applyBorder="1" applyAlignment="1">
      <alignment horizontal="center" vertical="center" wrapText="1" readingOrder="1"/>
    </xf>
    <xf numFmtId="43" fontId="8" fillId="3" borderId="0" xfId="6" applyFont="1" applyFill="1"/>
    <xf numFmtId="0" fontId="7" fillId="3" borderId="0" xfId="0" applyFont="1" applyFill="1" applyBorder="1"/>
    <xf numFmtId="0" fontId="16" fillId="3" borderId="0" xfId="0" applyFont="1" applyFill="1"/>
    <xf numFmtId="1" fontId="16" fillId="3" borderId="0" xfId="0" applyNumberFormat="1" applyFont="1" applyFill="1"/>
    <xf numFmtId="0" fontId="17" fillId="3" borderId="0" xfId="0" applyFont="1" applyFill="1"/>
    <xf numFmtId="0" fontId="18" fillId="3" borderId="3" xfId="0" applyFont="1" applyFill="1" applyBorder="1" applyAlignment="1">
      <alignment horizontal="center" vertical="top" wrapText="1"/>
    </xf>
    <xf numFmtId="0" fontId="17" fillId="3" borderId="0" xfId="0" applyFont="1" applyFill="1" applyAlignment="1">
      <alignment horizontal="center" vertical="center" readingOrder="1"/>
    </xf>
    <xf numFmtId="0" fontId="4" fillId="3" borderId="0" xfId="0" applyFont="1" applyFill="1" applyAlignment="1">
      <alignment horizontal="center"/>
    </xf>
    <xf numFmtId="0" fontId="3" fillId="3" borderId="0" xfId="1" applyFont="1" applyFill="1" applyAlignment="1">
      <alignment horizontal="center"/>
    </xf>
    <xf numFmtId="0" fontId="4" fillId="0" borderId="0" xfId="0" applyFont="1" applyAlignment="1">
      <alignment horizontal="center"/>
    </xf>
    <xf numFmtId="0" fontId="20" fillId="4" borderId="3" xfId="0" applyFont="1" applyFill="1" applyBorder="1" applyAlignment="1">
      <alignment horizontal="center" vertical="center" wrapText="1" readingOrder="1"/>
    </xf>
    <xf numFmtId="0" fontId="20" fillId="4" borderId="19" xfId="0" applyFont="1" applyFill="1" applyBorder="1" applyAlignment="1">
      <alignment horizontal="center" vertical="center" wrapText="1" readingOrder="1"/>
    </xf>
    <xf numFmtId="0" fontId="20" fillId="4" borderId="20" xfId="0" applyFont="1" applyFill="1" applyBorder="1" applyAlignment="1">
      <alignment horizontal="center" vertical="center" wrapText="1" readingOrder="1"/>
    </xf>
    <xf numFmtId="0" fontId="20" fillId="4" borderId="21" xfId="0" applyFont="1" applyFill="1" applyBorder="1" applyAlignment="1">
      <alignment horizontal="center" vertical="center" wrapText="1" readingOrder="1"/>
    </xf>
    <xf numFmtId="0" fontId="20" fillId="4" borderId="12" xfId="0" applyFont="1" applyFill="1" applyBorder="1" applyAlignment="1">
      <alignment horizontal="center" vertical="center" wrapText="1" readingOrder="1"/>
    </xf>
    <xf numFmtId="0" fontId="13" fillId="3" borderId="0" xfId="0" applyFont="1" applyFill="1" applyAlignment="1">
      <alignment horizontal="centerContinuous"/>
    </xf>
    <xf numFmtId="0" fontId="24" fillId="3" borderId="0" xfId="0" applyFont="1" applyFill="1" applyAlignment="1">
      <alignment horizontal="centerContinuous"/>
    </xf>
    <xf numFmtId="0" fontId="26" fillId="3" borderId="0" xfId="0" applyFont="1" applyFill="1" applyBorder="1"/>
    <xf numFmtId="0" fontId="26" fillId="3" borderId="0" xfId="0" applyFont="1" applyFill="1" applyBorder="1" applyAlignment="1">
      <alignment horizontal="center"/>
    </xf>
    <xf numFmtId="0" fontId="27" fillId="2" borderId="0" xfId="1" applyFont="1" applyFill="1"/>
    <xf numFmtId="0" fontId="27" fillId="2" borderId="0" xfId="1" applyFont="1" applyFill="1" applyAlignment="1">
      <alignment horizontal="center"/>
    </xf>
    <xf numFmtId="0" fontId="27" fillId="3" borderId="0" xfId="1" applyFont="1" applyFill="1"/>
    <xf numFmtId="0" fontId="26" fillId="3" borderId="0" xfId="0" applyFont="1" applyFill="1"/>
    <xf numFmtId="0" fontId="25" fillId="2" borderId="0" xfId="1" applyFont="1" applyFill="1"/>
    <xf numFmtId="166" fontId="25" fillId="3" borderId="0" xfId="3" applyNumberFormat="1" applyFont="1" applyFill="1" applyAlignment="1">
      <alignment horizontal="center"/>
    </xf>
    <xf numFmtId="0" fontId="25" fillId="3" borderId="0" xfId="1" applyFont="1" applyFill="1"/>
    <xf numFmtId="166" fontId="25" fillId="3" borderId="0" xfId="3" applyNumberFormat="1" applyFont="1" applyFill="1"/>
    <xf numFmtId="0" fontId="28" fillId="3" borderId="0" xfId="0" applyFont="1" applyFill="1" applyBorder="1"/>
    <xf numFmtId="0" fontId="25" fillId="2" borderId="0" xfId="1" applyFont="1" applyFill="1" applyBorder="1"/>
    <xf numFmtId="167" fontId="25" fillId="3" borderId="0" xfId="3" applyNumberFormat="1" applyFont="1" applyFill="1" applyAlignment="1">
      <alignment horizontal="center"/>
    </xf>
    <xf numFmtId="0" fontId="25" fillId="3" borderId="0" xfId="1" applyFont="1" applyFill="1" applyBorder="1"/>
    <xf numFmtId="167" fontId="25" fillId="3" borderId="0" xfId="3" applyNumberFormat="1" applyFont="1" applyFill="1"/>
    <xf numFmtId="0" fontId="28" fillId="3" borderId="0" xfId="0" applyFont="1" applyFill="1"/>
    <xf numFmtId="165" fontId="25" fillId="2" borderId="1" xfId="2" applyNumberFormat="1" applyFont="1" applyFill="1" applyBorder="1" applyAlignment="1">
      <alignment horizontal="center"/>
    </xf>
    <xf numFmtId="165" fontId="25" fillId="2" borderId="1" xfId="2" applyNumberFormat="1" applyFont="1" applyFill="1" applyBorder="1"/>
    <xf numFmtId="0" fontId="29" fillId="2" borderId="0" xfId="1" applyFont="1" applyFill="1" applyBorder="1"/>
    <xf numFmtId="166" fontId="29" fillId="3" borderId="0" xfId="3" applyNumberFormat="1" applyFont="1" applyFill="1" applyAlignment="1">
      <alignment horizontal="center"/>
    </xf>
    <xf numFmtId="0" fontId="29" fillId="3" borderId="0" xfId="1" applyFont="1" applyFill="1" applyBorder="1"/>
    <xf numFmtId="166" fontId="29" fillId="3" borderId="0" xfId="3" applyNumberFormat="1" applyFont="1" applyFill="1"/>
    <xf numFmtId="167" fontId="25" fillId="2" borderId="1" xfId="2" applyNumberFormat="1" applyFont="1" applyFill="1" applyBorder="1" applyAlignment="1">
      <alignment horizontal="center"/>
    </xf>
    <xf numFmtId="167" fontId="25" fillId="2" borderId="1" xfId="2" applyNumberFormat="1" applyFont="1" applyFill="1" applyBorder="1"/>
    <xf numFmtId="165" fontId="29" fillId="2" borderId="0" xfId="2" applyNumberFormat="1" applyFont="1" applyFill="1" applyBorder="1" applyAlignment="1">
      <alignment horizontal="center"/>
    </xf>
    <xf numFmtId="165" fontId="29" fillId="2" borderId="0" xfId="2" applyNumberFormat="1" applyFont="1" applyFill="1" applyBorder="1"/>
    <xf numFmtId="167" fontId="25" fillId="3" borderId="0" xfId="3" applyNumberFormat="1" applyFont="1" applyFill="1" applyBorder="1" applyAlignment="1">
      <alignment horizontal="center"/>
    </xf>
    <xf numFmtId="167" fontId="25" fillId="3" borderId="0" xfId="3" applyNumberFormat="1" applyFont="1" applyFill="1" applyBorder="1"/>
    <xf numFmtId="167" fontId="26" fillId="3" borderId="0" xfId="0" applyNumberFormat="1" applyFont="1" applyFill="1" applyBorder="1"/>
    <xf numFmtId="0" fontId="26" fillId="3" borderId="0" xfId="0" applyFont="1" applyFill="1" applyAlignment="1">
      <alignment horizontal="center"/>
    </xf>
    <xf numFmtId="165" fontId="25" fillId="2" borderId="0" xfId="2" applyNumberFormat="1" applyFont="1" applyFill="1" applyBorder="1"/>
    <xf numFmtId="0" fontId="30" fillId="4" borderId="0" xfId="1" applyFont="1" applyFill="1" applyAlignment="1">
      <alignment wrapText="1"/>
    </xf>
    <xf numFmtId="0" fontId="30" fillId="3" borderId="0" xfId="1" applyFont="1" applyFill="1" applyAlignment="1">
      <alignment wrapText="1"/>
    </xf>
    <xf numFmtId="0" fontId="20" fillId="3" borderId="0" xfId="1" applyFont="1" applyFill="1" applyBorder="1" applyAlignment="1">
      <alignment horizontal="center" wrapText="1"/>
    </xf>
    <xf numFmtId="0" fontId="20" fillId="4" borderId="0" xfId="1" applyFont="1" applyFill="1" applyBorder="1" applyAlignment="1">
      <alignment horizontal="center" wrapText="1"/>
    </xf>
    <xf numFmtId="0" fontId="13" fillId="3" borderId="0" xfId="0" applyFont="1" applyFill="1" applyBorder="1"/>
    <xf numFmtId="0" fontId="20" fillId="4" borderId="0" xfId="1" applyFont="1" applyFill="1"/>
    <xf numFmtId="164" fontId="20" fillId="4" borderId="0" xfId="2" quotePrefix="1" applyNumberFormat="1" applyFont="1" applyFill="1" applyBorder="1" applyAlignment="1">
      <alignment horizontal="center" wrapText="1"/>
    </xf>
    <xf numFmtId="0" fontId="20" fillId="3" borderId="0" xfId="1" applyFont="1" applyFill="1" applyAlignment="1">
      <alignment horizontal="center"/>
    </xf>
    <xf numFmtId="164" fontId="20" fillId="3" borderId="0" xfId="2" quotePrefix="1" applyNumberFormat="1" applyFont="1" applyFill="1" applyBorder="1" applyAlignment="1">
      <alignment horizontal="center" wrapText="1"/>
    </xf>
    <xf numFmtId="0" fontId="13" fillId="3" borderId="0" xfId="0" applyFont="1" applyFill="1" applyBorder="1" applyAlignment="1">
      <alignment horizontal="center"/>
    </xf>
    <xf numFmtId="166" fontId="29" fillId="2" borderId="1" xfId="4" applyNumberFormat="1" applyFont="1" applyFill="1" applyBorder="1"/>
    <xf numFmtId="166" fontId="28" fillId="3" borderId="0" xfId="4" applyNumberFormat="1" applyFont="1" applyFill="1"/>
    <xf numFmtId="166" fontId="28" fillId="3" borderId="0" xfId="4" applyNumberFormat="1" applyFont="1" applyFill="1" applyBorder="1"/>
    <xf numFmtId="167" fontId="26" fillId="3" borderId="0" xfId="0" applyNumberFormat="1" applyFont="1" applyFill="1"/>
    <xf numFmtId="166" fontId="29" fillId="3" borderId="0" xfId="4" applyNumberFormat="1" applyFont="1" applyFill="1"/>
    <xf numFmtId="165" fontId="29" fillId="2" borderId="1" xfId="2" applyNumberFormat="1" applyFont="1" applyFill="1" applyBorder="1"/>
    <xf numFmtId="167" fontId="25" fillId="2" borderId="0" xfId="2" applyNumberFormat="1" applyFont="1" applyFill="1" applyBorder="1"/>
    <xf numFmtId="167" fontId="29" fillId="2" borderId="1" xfId="2" applyNumberFormat="1" applyFont="1" applyFill="1" applyBorder="1"/>
    <xf numFmtId="167" fontId="29" fillId="3" borderId="0" xfId="3" applyNumberFormat="1" applyFont="1" applyFill="1"/>
    <xf numFmtId="165" fontId="29" fillId="3" borderId="0" xfId="3" applyNumberFormat="1" applyFont="1" applyFill="1"/>
    <xf numFmtId="0" fontId="20" fillId="4" borderId="0" xfId="1" applyFont="1" applyFill="1" applyAlignment="1">
      <alignment horizontal="centerContinuous"/>
    </xf>
    <xf numFmtId="164" fontId="13" fillId="3" borderId="0" xfId="6" applyNumberFormat="1" applyFont="1" applyFill="1"/>
    <xf numFmtId="0" fontId="20" fillId="4" borderId="0" xfId="1" quotePrefix="1" applyFont="1" applyFill="1" applyAlignment="1">
      <alignment horizontal="center"/>
    </xf>
    <xf numFmtId="14" fontId="20" fillId="4" borderId="0" xfId="1" quotePrefix="1" applyNumberFormat="1" applyFont="1" applyFill="1" applyAlignment="1">
      <alignment horizontal="center"/>
    </xf>
    <xf numFmtId="164" fontId="26" fillId="3" borderId="0" xfId="6" applyNumberFormat="1" applyFont="1" applyFill="1"/>
    <xf numFmtId="165" fontId="26" fillId="3" borderId="0" xfId="6" applyNumberFormat="1" applyFont="1" applyFill="1"/>
    <xf numFmtId="167" fontId="25" fillId="2" borderId="1" xfId="1" applyNumberFormat="1" applyFont="1" applyFill="1" applyBorder="1"/>
    <xf numFmtId="167" fontId="25" fillId="3" borderId="0" xfId="1" applyNumberFormat="1" applyFont="1" applyFill="1" applyBorder="1"/>
    <xf numFmtId="166" fontId="29" fillId="3" borderId="0" xfId="3" applyNumberFormat="1" applyFont="1" applyFill="1" applyBorder="1"/>
    <xf numFmtId="168" fontId="28" fillId="3" borderId="0" xfId="5" applyNumberFormat="1" applyFont="1" applyFill="1"/>
    <xf numFmtId="165" fontId="26" fillId="3" borderId="0" xfId="6" applyNumberFormat="1" applyFont="1" applyFill="1" applyAlignment="1">
      <alignment horizontal="center"/>
    </xf>
    <xf numFmtId="168" fontId="28" fillId="3" borderId="0" xfId="5" applyNumberFormat="1" applyFont="1" applyFill="1" applyAlignment="1"/>
    <xf numFmtId="0" fontId="20" fillId="3" borderId="0" xfId="1" applyFont="1" applyFill="1" applyBorder="1" applyAlignment="1">
      <alignment wrapText="1"/>
    </xf>
    <xf numFmtId="166" fontId="25" fillId="3" borderId="0" xfId="3" applyNumberFormat="1" applyFont="1" applyFill="1" applyBorder="1"/>
    <xf numFmtId="168" fontId="29" fillId="3" borderId="0" xfId="5" applyNumberFormat="1" applyFont="1" applyFill="1"/>
    <xf numFmtId="167" fontId="29" fillId="3" borderId="0" xfId="3" applyNumberFormat="1" applyFont="1" applyFill="1" applyBorder="1"/>
    <xf numFmtId="0" fontId="29" fillId="2" borderId="0" xfId="1" applyFont="1" applyFill="1" applyBorder="1" applyAlignment="1">
      <alignment wrapText="1"/>
    </xf>
    <xf numFmtId="166" fontId="29" fillId="3" borderId="0" xfId="3" applyNumberFormat="1" applyFont="1" applyFill="1" applyAlignment="1">
      <alignment vertical="top"/>
    </xf>
    <xf numFmtId="0" fontId="26" fillId="3" borderId="0" xfId="0" applyFont="1" applyFill="1" applyBorder="1" applyAlignment="1">
      <alignment vertical="top"/>
    </xf>
    <xf numFmtId="166" fontId="29" fillId="3" borderId="0" xfId="3" applyNumberFormat="1" applyFont="1" applyFill="1" applyBorder="1" applyAlignment="1">
      <alignment vertical="top"/>
    </xf>
    <xf numFmtId="0" fontId="29" fillId="2" borderId="0" xfId="1" applyFont="1" applyFill="1" applyAlignment="1">
      <alignment wrapText="1"/>
    </xf>
    <xf numFmtId="0" fontId="27" fillId="2" borderId="0" xfId="1" applyFont="1" applyFill="1" applyBorder="1"/>
    <xf numFmtId="167" fontId="29" fillId="3" borderId="0" xfId="1" applyNumberFormat="1" applyFont="1" applyFill="1" applyBorder="1"/>
    <xf numFmtId="167" fontId="25" fillId="2" borderId="0" xfId="1" applyNumberFormat="1" applyFont="1" applyFill="1" applyBorder="1"/>
    <xf numFmtId="165" fontId="25" fillId="3" borderId="0" xfId="1" applyNumberFormat="1" applyFont="1" applyFill="1" applyBorder="1"/>
    <xf numFmtId="168" fontId="29" fillId="3" borderId="0" xfId="5" applyNumberFormat="1" applyFont="1" applyFill="1" applyBorder="1"/>
    <xf numFmtId="167" fontId="25" fillId="3" borderId="1" xfId="1" applyNumberFormat="1" applyFont="1" applyFill="1" applyBorder="1"/>
    <xf numFmtId="166" fontId="29" fillId="2" borderId="0" xfId="4" applyNumberFormat="1" applyFont="1" applyFill="1" applyBorder="1" applyAlignment="1">
      <alignment wrapText="1"/>
    </xf>
    <xf numFmtId="166" fontId="29" fillId="3" borderId="1" xfId="4" applyNumberFormat="1" applyFont="1" applyFill="1" applyBorder="1"/>
    <xf numFmtId="166" fontId="29" fillId="2" borderId="0" xfId="4" applyNumberFormat="1" applyFont="1" applyFill="1" applyBorder="1"/>
    <xf numFmtId="168" fontId="29" fillId="3" borderId="1" xfId="5" applyNumberFormat="1" applyFont="1" applyFill="1" applyBorder="1"/>
    <xf numFmtId="168" fontId="28" fillId="3" borderId="0" xfId="5" applyNumberFormat="1" applyFont="1" applyFill="1" applyBorder="1"/>
    <xf numFmtId="168" fontId="29" fillId="2" borderId="1" xfId="5" applyNumberFormat="1" applyFont="1" applyFill="1" applyBorder="1"/>
    <xf numFmtId="168" fontId="29" fillId="2" borderId="0" xfId="5" applyNumberFormat="1" applyFont="1" applyFill="1" applyBorder="1"/>
    <xf numFmtId="172" fontId="11" fillId="3" borderId="3" xfId="0" applyNumberFormat="1" applyFont="1" applyFill="1" applyBorder="1" applyAlignment="1">
      <alignment horizontal="center" vertical="center" wrapText="1" readingOrder="1"/>
    </xf>
    <xf numFmtId="0" fontId="20" fillId="3" borderId="0" xfId="1" applyFont="1" applyFill="1"/>
    <xf numFmtId="166" fontId="25" fillId="2" borderId="0" xfId="4" applyNumberFormat="1" applyFont="1" applyFill="1" applyBorder="1"/>
    <xf numFmtId="166" fontId="25" fillId="3" borderId="0" xfId="4" applyNumberFormat="1" applyFont="1" applyFill="1" applyBorder="1"/>
    <xf numFmtId="166" fontId="26" fillId="3" borderId="0" xfId="4" applyNumberFormat="1" applyFont="1" applyFill="1" applyBorder="1"/>
    <xf numFmtId="167" fontId="25" fillId="2" borderId="1" xfId="4" applyNumberFormat="1" applyFont="1" applyFill="1" applyBorder="1"/>
    <xf numFmtId="165" fontId="25" fillId="2" borderId="1" xfId="4" applyNumberFormat="1" applyFont="1" applyFill="1" applyBorder="1"/>
    <xf numFmtId="167" fontId="25" fillId="3" borderId="1" xfId="4" applyNumberFormat="1" applyFont="1" applyFill="1" applyBorder="1"/>
    <xf numFmtId="167" fontId="26" fillId="3" borderId="0" xfId="4" applyNumberFormat="1" applyFont="1" applyFill="1"/>
    <xf numFmtId="167" fontId="26" fillId="3" borderId="0" xfId="4" applyNumberFormat="1" applyFont="1" applyFill="1" applyBorder="1"/>
    <xf numFmtId="167" fontId="29" fillId="3" borderId="0" xfId="4" applyNumberFormat="1" applyFont="1" applyFill="1"/>
    <xf numFmtId="165" fontId="29" fillId="3" borderId="0" xfId="4" applyNumberFormat="1" applyFont="1" applyFill="1"/>
    <xf numFmtId="167" fontId="28" fillId="3" borderId="0" xfId="4" applyNumberFormat="1" applyFont="1" applyFill="1"/>
    <xf numFmtId="167" fontId="28" fillId="3" borderId="0" xfId="4" applyNumberFormat="1" applyFont="1" applyFill="1" applyBorder="1"/>
    <xf numFmtId="167" fontId="28" fillId="3" borderId="0" xfId="0" applyNumberFormat="1" applyFont="1" applyFill="1"/>
    <xf numFmtId="167" fontId="28" fillId="3" borderId="0" xfId="0" applyNumberFormat="1" applyFont="1" applyFill="1" applyBorder="1"/>
    <xf numFmtId="165" fontId="25" fillId="3" borderId="0" xfId="2" applyNumberFormat="1" applyFont="1" applyFill="1" applyBorder="1"/>
    <xf numFmtId="165" fontId="25" fillId="3" borderId="1" xfId="2" applyNumberFormat="1" applyFont="1" applyFill="1" applyBorder="1"/>
    <xf numFmtId="171" fontId="26" fillId="3" borderId="0" xfId="0" applyNumberFormat="1" applyFont="1" applyFill="1" applyBorder="1"/>
    <xf numFmtId="0" fontId="20" fillId="4" borderId="0" xfId="1" applyFont="1" applyFill="1" applyAlignment="1">
      <alignment horizontal="center"/>
    </xf>
    <xf numFmtId="15" fontId="20" fillId="4" borderId="0" xfId="1" quotePrefix="1" applyNumberFormat="1" applyFont="1" applyFill="1"/>
    <xf numFmtId="165" fontId="25" fillId="2" borderId="1" xfId="1" applyNumberFormat="1" applyFont="1" applyFill="1" applyBorder="1"/>
    <xf numFmtId="167" fontId="25" fillId="2" borderId="1" xfId="1" applyNumberFormat="1" applyFont="1" applyFill="1" applyBorder="1" applyAlignment="1">
      <alignment vertical="top"/>
    </xf>
    <xf numFmtId="167" fontId="25" fillId="2" borderId="0" xfId="1" applyNumberFormat="1" applyFont="1" applyFill="1" applyBorder="1" applyAlignment="1">
      <alignment vertical="top"/>
    </xf>
    <xf numFmtId="0" fontId="29" fillId="2" borderId="0" xfId="1" applyFont="1" applyFill="1"/>
    <xf numFmtId="165" fontId="25" fillId="2" borderId="0" xfId="2" applyNumberFormat="1" applyFont="1" applyFill="1"/>
    <xf numFmtId="165" fontId="25" fillId="3" borderId="0" xfId="2" applyNumberFormat="1" applyFont="1" applyFill="1"/>
    <xf numFmtId="165" fontId="25" fillId="2" borderId="0" xfId="1" applyNumberFormat="1" applyFont="1" applyFill="1" applyBorder="1"/>
    <xf numFmtId="165" fontId="25" fillId="3" borderId="1" xfId="1" applyNumberFormat="1" applyFont="1" applyFill="1" applyBorder="1"/>
    <xf numFmtId="0" fontId="27" fillId="2" borderId="0" xfId="1" applyFont="1" applyFill="1" applyBorder="1" applyAlignment="1">
      <alignment wrapText="1"/>
    </xf>
    <xf numFmtId="0" fontId="26" fillId="0" borderId="0" xfId="0" applyFont="1"/>
    <xf numFmtId="0" fontId="4" fillId="5" borderId="0" xfId="0" applyFont="1" applyFill="1"/>
    <xf numFmtId="0" fontId="4" fillId="5" borderId="0" xfId="0" applyFont="1" applyFill="1" applyBorder="1"/>
    <xf numFmtId="0" fontId="25" fillId="3" borderId="0" xfId="1" applyFont="1" applyFill="1" applyAlignment="1">
      <alignment horizontal="left" vertical="top" wrapText="1"/>
    </xf>
    <xf numFmtId="44" fontId="25" fillId="3" borderId="0" xfId="3" applyNumberFormat="1" applyFont="1" applyFill="1" applyAlignment="1">
      <alignment horizontal="left" vertical="top"/>
    </xf>
    <xf numFmtId="44" fontId="25" fillId="3" borderId="0" xfId="3" applyNumberFormat="1" applyFont="1" applyFill="1" applyBorder="1" applyAlignment="1">
      <alignment horizontal="left" vertical="top"/>
    </xf>
    <xf numFmtId="0" fontId="26" fillId="3" borderId="0" xfId="0" applyFont="1" applyFill="1" applyAlignment="1">
      <alignment horizontal="left" vertical="top"/>
    </xf>
    <xf numFmtId="0" fontId="26" fillId="3" borderId="0" xfId="0" applyFont="1" applyFill="1" applyBorder="1" applyAlignment="1">
      <alignment horizontal="left" vertical="top"/>
    </xf>
    <xf numFmtId="0" fontId="28" fillId="3" borderId="0" xfId="0" applyFont="1" applyFill="1" applyBorder="1" applyAlignment="1">
      <alignment wrapText="1"/>
    </xf>
    <xf numFmtId="164" fontId="29" fillId="3" borderId="0" xfId="2" applyNumberFormat="1" applyFont="1" applyFill="1" applyBorder="1"/>
    <xf numFmtId="0" fontId="25" fillId="2" borderId="0" xfId="1" applyFont="1" applyFill="1" applyBorder="1" applyAlignment="1">
      <alignment wrapText="1"/>
    </xf>
    <xf numFmtId="164" fontId="25" fillId="2" borderId="1" xfId="1" applyNumberFormat="1" applyFont="1" applyFill="1" applyBorder="1"/>
    <xf numFmtId="164" fontId="25" fillId="3" borderId="1" xfId="1" applyNumberFormat="1" applyFont="1" applyFill="1" applyBorder="1"/>
    <xf numFmtId="164" fontId="25" fillId="3" borderId="0" xfId="1" applyNumberFormat="1" applyFont="1" applyFill="1" applyBorder="1"/>
    <xf numFmtId="164" fontId="25" fillId="2" borderId="0" xfId="2" applyNumberFormat="1" applyFont="1" applyFill="1"/>
    <xf numFmtId="164" fontId="25" fillId="3" borderId="0" xfId="2" applyNumberFormat="1" applyFont="1" applyFill="1"/>
    <xf numFmtId="164" fontId="25" fillId="3" borderId="0" xfId="2" applyNumberFormat="1" applyFont="1" applyFill="1" applyBorder="1"/>
    <xf numFmtId="0" fontId="3" fillId="5" borderId="0" xfId="1" applyFont="1" applyFill="1"/>
    <xf numFmtId="0" fontId="25" fillId="3" borderId="0" xfId="7" applyFont="1" applyFill="1"/>
    <xf numFmtId="167" fontId="25" fillId="3" borderId="0" xfId="2" applyNumberFormat="1" applyFont="1" applyFill="1" applyBorder="1"/>
    <xf numFmtId="167" fontId="25" fillId="3" borderId="1" xfId="2" applyNumberFormat="1" applyFont="1" applyFill="1" applyBorder="1"/>
    <xf numFmtId="167" fontId="29" fillId="3" borderId="1" xfId="2" applyNumberFormat="1" applyFont="1" applyFill="1" applyBorder="1"/>
    <xf numFmtId="0" fontId="25" fillId="3" borderId="0" xfId="7" applyFont="1" applyFill="1" applyBorder="1"/>
    <xf numFmtId="167" fontId="25" fillId="3" borderId="0" xfId="1" applyNumberFormat="1" applyFont="1" applyFill="1"/>
    <xf numFmtId="167" fontId="25" fillId="3" borderId="0" xfId="2" applyNumberFormat="1" applyFont="1" applyFill="1"/>
    <xf numFmtId="0" fontId="29" fillId="3" borderId="0" xfId="7" applyFont="1" applyFill="1" applyBorder="1"/>
    <xf numFmtId="168" fontId="12" fillId="3" borderId="12" xfId="5" applyNumberFormat="1" applyFont="1" applyFill="1" applyBorder="1" applyAlignment="1">
      <alignment horizontal="center" vertical="center" wrapText="1" readingOrder="1"/>
    </xf>
    <xf numFmtId="170" fontId="11" fillId="3" borderId="29" xfId="0" applyNumberFormat="1" applyFont="1" applyFill="1" applyBorder="1" applyAlignment="1">
      <alignment horizontal="center" vertical="center" wrapText="1" readingOrder="1"/>
    </xf>
    <xf numFmtId="170" fontId="11" fillId="3" borderId="30" xfId="0" applyNumberFormat="1" applyFont="1" applyFill="1" applyBorder="1" applyAlignment="1">
      <alignment horizontal="center" vertical="center" wrapText="1" readingOrder="1"/>
    </xf>
    <xf numFmtId="170" fontId="11" fillId="3" borderId="31" xfId="0" applyNumberFormat="1" applyFont="1" applyFill="1" applyBorder="1" applyAlignment="1">
      <alignment horizontal="center" vertical="center" wrapText="1" readingOrder="1"/>
    </xf>
    <xf numFmtId="0" fontId="10" fillId="3" borderId="0" xfId="0" applyFont="1" applyFill="1" applyBorder="1" applyAlignment="1">
      <alignment horizontal="center" vertical="center" textRotation="90" wrapText="1" readingOrder="1"/>
    </xf>
    <xf numFmtId="0" fontId="17" fillId="3" borderId="0" xfId="0" applyFont="1" applyFill="1" applyBorder="1"/>
    <xf numFmtId="168" fontId="12" fillId="3" borderId="0" xfId="5" applyNumberFormat="1" applyFont="1" applyFill="1" applyBorder="1" applyAlignment="1">
      <alignment vertical="center" wrapText="1" readingOrder="1"/>
    </xf>
    <xf numFmtId="168" fontId="12" fillId="3" borderId="0" xfId="5" applyNumberFormat="1" applyFont="1" applyFill="1" applyBorder="1" applyAlignment="1">
      <alignment horizontal="center" vertical="center" wrapText="1" readingOrder="1"/>
    </xf>
    <xf numFmtId="0" fontId="20" fillId="4" borderId="0" xfId="1" applyFont="1" applyFill="1" applyBorder="1" applyAlignment="1">
      <alignment horizontal="center" wrapText="1"/>
    </xf>
    <xf numFmtId="0" fontId="11" fillId="3" borderId="22" xfId="0" applyFont="1" applyFill="1" applyBorder="1" applyAlignment="1">
      <alignment horizontal="center" vertical="center" wrapText="1" readingOrder="1"/>
    </xf>
    <xf numFmtId="0" fontId="24" fillId="3" borderId="0" xfId="0" applyFont="1" applyFill="1" applyAlignment="1">
      <alignment horizontal="left"/>
    </xf>
    <xf numFmtId="0" fontId="31" fillId="3" borderId="0" xfId="0" applyFont="1" applyFill="1" applyBorder="1" applyAlignment="1">
      <alignment horizontal="left" vertical="center" wrapText="1" readingOrder="1"/>
    </xf>
    <xf numFmtId="0" fontId="31" fillId="3" borderId="24" xfId="0" applyFont="1" applyFill="1" applyBorder="1" applyAlignment="1">
      <alignment horizontal="left" vertical="center" wrapText="1" readingOrder="1"/>
    </xf>
    <xf numFmtId="0" fontId="32" fillId="3" borderId="0" xfId="0" applyFont="1" applyFill="1" applyBorder="1" applyAlignment="1">
      <alignment horizontal="left" vertical="center" wrapText="1" readingOrder="1"/>
    </xf>
    <xf numFmtId="0" fontId="32" fillId="3" borderId="26" xfId="0" applyFont="1" applyFill="1" applyBorder="1" applyAlignment="1">
      <alignment horizontal="left" vertical="center" wrapText="1" readingOrder="1"/>
    </xf>
    <xf numFmtId="0" fontId="31" fillId="3" borderId="26" xfId="0" applyFont="1" applyFill="1" applyBorder="1" applyAlignment="1">
      <alignment horizontal="left" vertical="center" wrapText="1" readingOrder="1"/>
    </xf>
    <xf numFmtId="0" fontId="32" fillId="3" borderId="28" xfId="0" applyFont="1" applyFill="1" applyBorder="1" applyAlignment="1">
      <alignment horizontal="left" vertical="center" wrapText="1" readingOrder="1"/>
    </xf>
    <xf numFmtId="0" fontId="31" fillId="3" borderId="3" xfId="0" applyFont="1" applyFill="1" applyBorder="1" applyAlignment="1">
      <alignment horizontal="left" vertical="center" wrapText="1" readingOrder="1"/>
    </xf>
    <xf numFmtId="0" fontId="32" fillId="3" borderId="3" xfId="0" applyFont="1" applyFill="1" applyBorder="1" applyAlignment="1">
      <alignment horizontal="left" vertical="center" wrapText="1" readingOrder="1"/>
    </xf>
    <xf numFmtId="0" fontId="24" fillId="3" borderId="0" xfId="0" applyFont="1" applyFill="1"/>
    <xf numFmtId="167" fontId="26" fillId="3" borderId="0" xfId="6" applyNumberFormat="1" applyFont="1" applyFill="1" applyAlignment="1">
      <alignment horizontal="center"/>
    </xf>
    <xf numFmtId="170" fontId="13" fillId="3" borderId="0" xfId="0" applyNumberFormat="1" applyFont="1" applyFill="1"/>
    <xf numFmtId="0" fontId="24" fillId="5" borderId="0" xfId="0" applyFont="1" applyFill="1" applyAlignment="1">
      <alignment horizontal="left"/>
    </xf>
    <xf numFmtId="0" fontId="24" fillId="5" borderId="0" xfId="0" applyFont="1" applyFill="1" applyAlignment="1">
      <alignment horizontal="fill"/>
    </xf>
    <xf numFmtId="0" fontId="19" fillId="3" borderId="0" xfId="0" applyFont="1" applyFill="1"/>
    <xf numFmtId="0" fontId="33" fillId="3" borderId="0" xfId="0" applyFont="1" applyFill="1" applyAlignment="1">
      <alignment horizontal="left" vertical="center" wrapText="1" readingOrder="1"/>
    </xf>
    <xf numFmtId="0" fontId="26" fillId="3" borderId="0" xfId="0" applyFont="1" applyFill="1" applyAlignment="1">
      <alignment vertical="center" readingOrder="1"/>
    </xf>
    <xf numFmtId="0" fontId="26" fillId="3" borderId="0" xfId="0" applyFont="1" applyFill="1" applyAlignment="1">
      <alignment vertical="center" wrapText="1" readingOrder="1"/>
    </xf>
    <xf numFmtId="0" fontId="11" fillId="3" borderId="0" xfId="0" applyFont="1" applyFill="1" applyAlignment="1">
      <alignment horizontal="left" vertical="center" wrapText="1" readingOrder="1"/>
    </xf>
    <xf numFmtId="0" fontId="33" fillId="3" borderId="0" xfId="0" applyFont="1" applyFill="1" applyAlignment="1">
      <alignment horizontal="left" readingOrder="1"/>
    </xf>
    <xf numFmtId="0" fontId="34" fillId="3" borderId="0" xfId="0" applyFont="1" applyFill="1"/>
    <xf numFmtId="0" fontId="35" fillId="3" borderId="0" xfId="0" applyFont="1" applyFill="1" applyAlignment="1">
      <alignment horizontal="left" vertical="center" wrapText="1" readingOrder="1"/>
    </xf>
    <xf numFmtId="0" fontId="31" fillId="3" borderId="0" xfId="0" applyFont="1" applyFill="1" applyAlignment="1">
      <alignment horizontal="left" vertical="center" wrapText="1" readingOrder="1"/>
    </xf>
    <xf numFmtId="0" fontId="26" fillId="3" borderId="0" xfId="0" applyFont="1" applyFill="1" applyAlignment="1">
      <alignment wrapText="1"/>
    </xf>
    <xf numFmtId="0" fontId="33" fillId="3" borderId="0" xfId="0" quotePrefix="1" applyFont="1" applyFill="1" applyAlignment="1">
      <alignment horizontal="left" vertical="center" wrapText="1" readingOrder="1"/>
    </xf>
    <xf numFmtId="0" fontId="24" fillId="3" borderId="0" xfId="0" applyFont="1" applyFill="1" applyAlignment="1">
      <alignment wrapText="1"/>
    </xf>
    <xf numFmtId="0" fontId="31" fillId="3" borderId="32" xfId="0" applyFont="1" applyFill="1" applyBorder="1" applyAlignment="1">
      <alignment horizontal="left" vertical="center" wrapText="1" readingOrder="1"/>
    </xf>
    <xf numFmtId="173" fontId="13" fillId="3" borderId="0" xfId="0" applyNumberFormat="1" applyFont="1" applyFill="1"/>
    <xf numFmtId="0" fontId="20" fillId="4" borderId="0" xfId="1" applyFont="1" applyFill="1" applyBorder="1" applyAlignment="1">
      <alignment horizontal="center" wrapText="1"/>
    </xf>
    <xf numFmtId="168" fontId="26" fillId="3" borderId="36" xfId="5" applyNumberFormat="1" applyFont="1" applyFill="1" applyBorder="1" applyAlignment="1">
      <alignment horizontal="right"/>
    </xf>
    <xf numFmtId="168" fontId="28" fillId="3" borderId="0" xfId="5" applyNumberFormat="1" applyFont="1" applyFill="1" applyAlignment="1">
      <alignment horizontal="right"/>
    </xf>
    <xf numFmtId="168" fontId="26" fillId="3" borderId="0" xfId="5" applyNumberFormat="1" applyFont="1" applyFill="1" applyAlignment="1">
      <alignment horizontal="right"/>
    </xf>
    <xf numFmtId="168" fontId="11" fillId="3" borderId="3" xfId="5" applyNumberFormat="1" applyFont="1" applyFill="1" applyBorder="1" applyAlignment="1">
      <alignment horizontal="center" vertical="center" wrapText="1" readingOrder="1"/>
    </xf>
    <xf numFmtId="166" fontId="26" fillId="3" borderId="0" xfId="4" applyNumberFormat="1" applyFont="1" applyFill="1"/>
    <xf numFmtId="168" fontId="13" fillId="3" borderId="0" xfId="5" applyNumberFormat="1" applyFont="1" applyFill="1"/>
    <xf numFmtId="0" fontId="36" fillId="4" borderId="3" xfId="0" applyFont="1" applyFill="1" applyBorder="1" applyAlignment="1">
      <alignment horizontal="center" vertical="center" wrapText="1" readingOrder="1"/>
    </xf>
    <xf numFmtId="0" fontId="18" fillId="3" borderId="0" xfId="0" applyFont="1" applyFill="1" applyBorder="1" applyAlignment="1">
      <alignment horizontal="center" vertical="top" wrapText="1"/>
    </xf>
    <xf numFmtId="0" fontId="38" fillId="3" borderId="0" xfId="0" applyFont="1" applyFill="1" applyAlignment="1">
      <alignment horizontal="left"/>
    </xf>
    <xf numFmtId="0" fontId="39" fillId="5" borderId="0" xfId="0" applyFont="1" applyFill="1"/>
    <xf numFmtId="0" fontId="40" fillId="5" borderId="0" xfId="0" applyFont="1" applyFill="1"/>
    <xf numFmtId="0" fontId="41" fillId="5" borderId="0" xfId="8" applyFont="1" applyFill="1"/>
    <xf numFmtId="0" fontId="42" fillId="2" borderId="0" xfId="1" applyFont="1" applyFill="1" applyBorder="1"/>
    <xf numFmtId="0" fontId="43" fillId="3" borderId="0" xfId="0" applyFont="1" applyFill="1"/>
    <xf numFmtId="166" fontId="43" fillId="3" borderId="0" xfId="4" applyNumberFormat="1" applyFont="1" applyFill="1"/>
    <xf numFmtId="166" fontId="43" fillId="3" borderId="0" xfId="4" applyNumberFormat="1" applyFont="1" applyFill="1" applyBorder="1"/>
    <xf numFmtId="0" fontId="43" fillId="3" borderId="0" xfId="0" applyFont="1" applyFill="1" applyBorder="1"/>
    <xf numFmtId="168" fontId="42" fillId="3" borderId="0" xfId="5" applyNumberFormat="1" applyFont="1" applyFill="1"/>
    <xf numFmtId="0" fontId="11" fillId="3" borderId="0" xfId="0" applyFont="1" applyFill="1" applyBorder="1" applyAlignment="1">
      <alignment horizontal="left" vertical="center" wrapText="1" readingOrder="1"/>
    </xf>
    <xf numFmtId="0" fontId="20" fillId="4" borderId="12" xfId="0" applyFont="1" applyFill="1" applyBorder="1" applyAlignment="1">
      <alignment horizontal="center" vertical="center" wrapText="1" readingOrder="1"/>
    </xf>
    <xf numFmtId="0" fontId="44" fillId="3" borderId="0" xfId="0" applyFont="1" applyFill="1"/>
    <xf numFmtId="0" fontId="20" fillId="3" borderId="0" xfId="0" applyFont="1" applyFill="1"/>
    <xf numFmtId="0" fontId="36" fillId="4" borderId="12" xfId="0" applyFont="1" applyFill="1" applyBorder="1" applyAlignment="1">
      <alignment horizontal="center" vertical="center" wrapText="1" readingOrder="1"/>
    </xf>
    <xf numFmtId="0" fontId="33" fillId="3" borderId="0" xfId="0" applyFont="1" applyFill="1" applyAlignment="1">
      <alignment horizontal="left" wrapText="1" readingOrder="1"/>
    </xf>
    <xf numFmtId="0" fontId="13" fillId="6" borderId="0" xfId="0" applyFont="1" applyFill="1" applyBorder="1"/>
    <xf numFmtId="0" fontId="0" fillId="6" borderId="43" xfId="0" applyFont="1" applyFill="1" applyBorder="1"/>
    <xf numFmtId="0" fontId="0" fillId="6" borderId="44" xfId="0" applyFont="1" applyFill="1" applyBorder="1"/>
    <xf numFmtId="164" fontId="13" fillId="6" borderId="0" xfId="6" applyNumberFormat="1" applyFont="1" applyFill="1"/>
    <xf numFmtId="164" fontId="13" fillId="6" borderId="0" xfId="6" applyNumberFormat="1" applyFont="1" applyFill="1" applyBorder="1"/>
    <xf numFmtId="168" fontId="0" fillId="7" borderId="44" xfId="5" applyNumberFormat="1" applyFont="1" applyFill="1" applyBorder="1"/>
    <xf numFmtId="164" fontId="13" fillId="7" borderId="0" xfId="6" applyNumberFormat="1" applyFont="1" applyFill="1"/>
    <xf numFmtId="164" fontId="13" fillId="7" borderId="0" xfId="6" applyNumberFormat="1" applyFont="1" applyFill="1" applyBorder="1"/>
    <xf numFmtId="168" fontId="13" fillId="7" borderId="0" xfId="5" applyNumberFormat="1" applyFont="1" applyFill="1"/>
    <xf numFmtId="0" fontId="13" fillId="7" borderId="0" xfId="0" applyFont="1" applyFill="1" applyBorder="1"/>
    <xf numFmtId="168" fontId="0" fillId="7" borderId="15" xfId="5" applyNumberFormat="1" applyFont="1" applyFill="1" applyBorder="1"/>
    <xf numFmtId="0" fontId="20" fillId="4" borderId="0" xfId="1" applyFont="1" applyFill="1" applyBorder="1" applyAlignment="1">
      <alignment horizontal="center" wrapText="1"/>
    </xf>
    <xf numFmtId="175" fontId="25" fillId="3" borderId="0" xfId="1" applyNumberFormat="1" applyFont="1" applyFill="1" applyBorder="1"/>
    <xf numFmtId="175" fontId="29" fillId="3" borderId="0" xfId="1" applyNumberFormat="1" applyFont="1" applyFill="1" applyBorder="1"/>
    <xf numFmtId="0" fontId="45" fillId="3" borderId="34" xfId="0" applyFont="1" applyFill="1" applyBorder="1" applyAlignment="1">
      <alignment horizontal="left" vertical="center" wrapText="1" readingOrder="1"/>
    </xf>
    <xf numFmtId="0" fontId="10" fillId="3" borderId="33" xfId="0" applyFont="1" applyFill="1" applyBorder="1" applyAlignment="1">
      <alignment horizontal="center" vertical="center" textRotation="90" wrapText="1" readingOrder="1"/>
    </xf>
    <xf numFmtId="0" fontId="46" fillId="3" borderId="0" xfId="0" applyFont="1" applyFill="1" applyAlignment="1">
      <alignment vertical="center" wrapText="1"/>
    </xf>
    <xf numFmtId="0" fontId="29" fillId="3" borderId="3" xfId="0" applyFont="1" applyFill="1" applyBorder="1" applyAlignment="1">
      <alignment horizontal="left" vertical="center" wrapText="1" readingOrder="1"/>
    </xf>
    <xf numFmtId="0" fontId="30" fillId="3" borderId="0" xfId="0" applyFont="1" applyFill="1"/>
    <xf numFmtId="170" fontId="25" fillId="3" borderId="3" xfId="0" applyNumberFormat="1" applyFont="1" applyFill="1" applyBorder="1" applyAlignment="1">
      <alignment horizontal="center" vertical="center" wrapText="1" readingOrder="1"/>
    </xf>
    <xf numFmtId="0" fontId="25" fillId="3" borderId="45" xfId="0" applyFont="1" applyFill="1" applyBorder="1" applyAlignment="1">
      <alignment horizontal="center" vertical="center" wrapText="1" readingOrder="1"/>
    </xf>
    <xf numFmtId="0" fontId="49" fillId="3" borderId="0" xfId="0" applyFont="1" applyFill="1"/>
    <xf numFmtId="168" fontId="42" fillId="3" borderId="3" xfId="5" applyNumberFormat="1" applyFont="1" applyFill="1" applyBorder="1" applyAlignment="1">
      <alignment horizontal="center" vertical="center" wrapText="1" readingOrder="1"/>
    </xf>
    <xf numFmtId="0" fontId="29" fillId="3" borderId="0" xfId="0" applyFont="1" applyFill="1" applyBorder="1" applyAlignment="1">
      <alignment horizontal="left" vertical="center" wrapText="1" readingOrder="1"/>
    </xf>
    <xf numFmtId="170" fontId="25" fillId="3" borderId="0" xfId="0" applyNumberFormat="1" applyFont="1" applyFill="1" applyBorder="1" applyAlignment="1">
      <alignment horizontal="center" vertical="center" wrapText="1" readingOrder="1"/>
    </xf>
    <xf numFmtId="0" fontId="25" fillId="3" borderId="0" xfId="0" applyFont="1" applyFill="1" applyBorder="1" applyAlignment="1">
      <alignment horizontal="center" vertical="center" wrapText="1" readingOrder="1"/>
    </xf>
    <xf numFmtId="0" fontId="45" fillId="3" borderId="3" xfId="0" applyFont="1" applyFill="1" applyBorder="1" applyAlignment="1">
      <alignment horizontal="left" vertical="center" wrapText="1" readingOrder="1"/>
    </xf>
    <xf numFmtId="170" fontId="42" fillId="3" borderId="3" xfId="0" applyNumberFormat="1" applyFont="1" applyFill="1" applyBorder="1" applyAlignment="1">
      <alignment horizontal="center" vertical="center" wrapText="1" readingOrder="1"/>
    </xf>
    <xf numFmtId="0" fontId="29" fillId="3" borderId="34" xfId="0" applyFont="1" applyFill="1" applyBorder="1" applyAlignment="1">
      <alignment horizontal="left" vertical="center" wrapText="1" readingOrder="1"/>
    </xf>
    <xf numFmtId="168" fontId="25" fillId="3" borderId="3" xfId="5" applyNumberFormat="1" applyFont="1" applyFill="1" applyBorder="1" applyAlignment="1">
      <alignment horizontal="center" vertical="center" wrapText="1" readingOrder="1"/>
    </xf>
    <xf numFmtId="174" fontId="25" fillId="3" borderId="3" xfId="0" applyNumberFormat="1" applyFont="1" applyFill="1" applyBorder="1" applyAlignment="1">
      <alignment horizontal="center" vertical="center" wrapText="1" readingOrder="1"/>
    </xf>
    <xf numFmtId="170" fontId="25" fillId="0" borderId="3" xfId="0" applyNumberFormat="1" applyFont="1" applyFill="1" applyBorder="1" applyAlignment="1">
      <alignment horizontal="center" vertical="center" wrapText="1" readingOrder="1"/>
    </xf>
    <xf numFmtId="170" fontId="30" fillId="0" borderId="0" xfId="0" applyNumberFormat="1" applyFont="1" applyFill="1"/>
    <xf numFmtId="170" fontId="42" fillId="0" borderId="3" xfId="0" applyNumberFormat="1" applyFont="1" applyFill="1" applyBorder="1" applyAlignment="1">
      <alignment horizontal="center" vertical="center" wrapText="1" readingOrder="1"/>
    </xf>
    <xf numFmtId="168" fontId="42" fillId="0" borderId="3" xfId="5" applyNumberFormat="1" applyFont="1" applyFill="1" applyBorder="1" applyAlignment="1">
      <alignment horizontal="center" vertical="center" wrapText="1" readingOrder="1"/>
    </xf>
    <xf numFmtId="0" fontId="49" fillId="0" borderId="0" xfId="0" applyFont="1" applyFill="1"/>
    <xf numFmtId="0" fontId="50" fillId="3" borderId="0" xfId="0" applyFont="1" applyFill="1"/>
    <xf numFmtId="0" fontId="29" fillId="0" borderId="34" xfId="0" applyFont="1" applyFill="1" applyBorder="1" applyAlignment="1">
      <alignment horizontal="left" vertical="center" wrapText="1" readingOrder="1"/>
    </xf>
    <xf numFmtId="168" fontId="49" fillId="3" borderId="0" xfId="5" applyNumberFormat="1" applyFont="1" applyFill="1"/>
    <xf numFmtId="0" fontId="20" fillId="4" borderId="0" xfId="1" applyFont="1" applyFill="1" applyBorder="1" applyAlignment="1">
      <alignment horizontal="center" wrapText="1"/>
    </xf>
    <xf numFmtId="0" fontId="20" fillId="4" borderId="0" xfId="1" applyFont="1" applyFill="1" applyBorder="1" applyAlignment="1">
      <alignment horizontal="center" wrapText="1"/>
    </xf>
    <xf numFmtId="167" fontId="29" fillId="3" borderId="0" xfId="3" applyNumberFormat="1" applyFont="1" applyFill="1" applyAlignment="1">
      <alignment vertical="top"/>
    </xf>
    <xf numFmtId="176" fontId="13" fillId="3" borderId="0" xfId="0" applyNumberFormat="1" applyFont="1" applyFill="1"/>
    <xf numFmtId="0" fontId="7" fillId="0" borderId="0" xfId="0" applyFont="1" applyAlignment="1">
      <alignment vertical="center"/>
    </xf>
    <xf numFmtId="0" fontId="35" fillId="3" borderId="0" xfId="0" applyFont="1" applyFill="1" applyAlignment="1">
      <alignment vertical="center" wrapText="1" readingOrder="1"/>
    </xf>
    <xf numFmtId="0" fontId="20" fillId="4" borderId="0" xfId="1" applyFont="1" applyFill="1" applyBorder="1" applyAlignment="1">
      <alignment horizontal="center" wrapText="1"/>
    </xf>
    <xf numFmtId="164" fontId="26" fillId="3" borderId="0" xfId="6" applyNumberFormat="1" applyFont="1" applyFill="1" applyBorder="1"/>
    <xf numFmtId="175" fontId="29" fillId="3" borderId="0" xfId="3" applyNumberFormat="1" applyFont="1" applyFill="1"/>
    <xf numFmtId="170" fontId="11" fillId="0" borderId="31" xfId="0" applyNumberFormat="1" applyFont="1" applyFill="1" applyBorder="1" applyAlignment="1">
      <alignment horizontal="center" vertical="center" wrapText="1" readingOrder="1"/>
    </xf>
    <xf numFmtId="168" fontId="12" fillId="0" borderId="12" xfId="5" applyNumberFormat="1" applyFont="1" applyFill="1" applyBorder="1" applyAlignment="1">
      <alignment horizontal="center" vertical="center" wrapText="1" readingOrder="1"/>
    </xf>
    <xf numFmtId="170" fontId="11" fillId="0" borderId="3" xfId="0" applyNumberFormat="1" applyFont="1" applyFill="1" applyBorder="1" applyAlignment="1">
      <alignment horizontal="center" vertical="center" wrapText="1" readingOrder="1"/>
    </xf>
    <xf numFmtId="0" fontId="20" fillId="4" borderId="0" xfId="1" applyFont="1" applyFill="1" applyBorder="1" applyAlignment="1">
      <alignment horizontal="center" wrapText="1"/>
    </xf>
    <xf numFmtId="0" fontId="20" fillId="4" borderId="0" xfId="1" applyFont="1" applyFill="1" applyBorder="1" applyAlignment="1">
      <alignment horizontal="center" wrapText="1"/>
    </xf>
    <xf numFmtId="175" fontId="25" fillId="3" borderId="0" xfId="3" applyNumberFormat="1" applyFont="1" applyFill="1"/>
    <xf numFmtId="175" fontId="28" fillId="3" borderId="0" xfId="0" applyNumberFormat="1" applyFont="1" applyFill="1" applyBorder="1"/>
    <xf numFmtId="175" fontId="26" fillId="3" borderId="0" xfId="0" applyNumberFormat="1" applyFont="1" applyFill="1" applyBorder="1"/>
    <xf numFmtId="177" fontId="28" fillId="3" borderId="0" xfId="0" applyNumberFormat="1" applyFont="1" applyFill="1"/>
    <xf numFmtId="177" fontId="25" fillId="3" borderId="0" xfId="3" applyNumberFormat="1" applyFont="1" applyFill="1"/>
    <xf numFmtId="177" fontId="28" fillId="3" borderId="0" xfId="0" applyNumberFormat="1" applyFont="1" applyFill="1" applyBorder="1"/>
    <xf numFmtId="177" fontId="26" fillId="3" borderId="0" xfId="0" applyNumberFormat="1" applyFont="1" applyFill="1"/>
    <xf numFmtId="175" fontId="29" fillId="3" borderId="0" xfId="3" applyNumberFormat="1" applyFont="1" applyFill="1" applyBorder="1"/>
    <xf numFmtId="175" fontId="28" fillId="3" borderId="0" xfId="4" applyNumberFormat="1" applyFont="1" applyFill="1" applyBorder="1"/>
    <xf numFmtId="0" fontId="20" fillId="4" borderId="0" xfId="1" applyFont="1" applyFill="1" applyBorder="1" applyAlignment="1">
      <alignment horizontal="center" wrapText="1"/>
    </xf>
    <xf numFmtId="177" fontId="29" fillId="2" borderId="0" xfId="2" applyNumberFormat="1" applyFont="1" applyFill="1" applyBorder="1"/>
    <xf numFmtId="165" fontId="28" fillId="3" borderId="0" xfId="0" applyNumberFormat="1" applyFont="1" applyFill="1"/>
    <xf numFmtId="165" fontId="25" fillId="3" borderId="0" xfId="3" applyNumberFormat="1" applyFont="1" applyFill="1" applyBorder="1"/>
    <xf numFmtId="178" fontId="29" fillId="2" borderId="1" xfId="2" applyNumberFormat="1" applyFont="1" applyFill="1" applyBorder="1"/>
    <xf numFmtId="0" fontId="33" fillId="3" borderId="0" xfId="0" applyFont="1" applyFill="1" applyAlignment="1">
      <alignment horizontal="left" vertical="top" wrapText="1" readingOrder="1"/>
    </xf>
    <xf numFmtId="0" fontId="26" fillId="3" borderId="0" xfId="0" applyFont="1" applyFill="1" applyAlignment="1">
      <alignment horizontal="left" vertical="top" readingOrder="1"/>
    </xf>
    <xf numFmtId="0" fontId="26" fillId="3" borderId="0" xfId="0" applyFont="1" applyFill="1" applyAlignment="1">
      <alignment horizontal="left" vertical="top" wrapText="1" readingOrder="1"/>
    </xf>
    <xf numFmtId="0" fontId="11" fillId="3" borderId="0" xfId="0" applyFont="1" applyFill="1" applyAlignment="1">
      <alignment horizontal="left" vertical="top" wrapText="1" readingOrder="1"/>
    </xf>
    <xf numFmtId="0" fontId="33" fillId="3" borderId="0" xfId="0" applyFont="1" applyFill="1" applyAlignment="1">
      <alignment horizontal="left" vertical="top" readingOrder="1"/>
    </xf>
    <xf numFmtId="0" fontId="33" fillId="3" borderId="0" xfId="0" quotePrefix="1" applyFont="1" applyFill="1" applyAlignment="1">
      <alignment horizontal="left" vertical="top" wrapText="1" readingOrder="1"/>
    </xf>
    <xf numFmtId="14" fontId="20" fillId="4" borderId="17" xfId="0" applyNumberFormat="1" applyFont="1" applyFill="1" applyBorder="1" applyAlignment="1">
      <alignment horizontal="center" vertical="center" wrapText="1" readingOrder="1"/>
    </xf>
    <xf numFmtId="14" fontId="20" fillId="4" borderId="18" xfId="0" applyNumberFormat="1" applyFont="1" applyFill="1" applyBorder="1" applyAlignment="1">
      <alignment horizontal="center" vertical="center" wrapText="1" readingOrder="1"/>
    </xf>
    <xf numFmtId="0" fontId="11" fillId="3" borderId="3" xfId="0" applyFont="1" applyFill="1" applyBorder="1" applyAlignment="1">
      <alignment horizontal="center" vertical="center" wrapText="1" readingOrder="1"/>
    </xf>
    <xf numFmtId="0" fontId="0" fillId="0" borderId="3" xfId="0" applyBorder="1" applyAlignment="1">
      <alignment horizontal="center" wrapText="1"/>
    </xf>
    <xf numFmtId="0" fontId="11" fillId="3" borderId="10" xfId="0" applyFont="1" applyFill="1" applyBorder="1" applyAlignment="1">
      <alignment horizontal="center" vertical="center" wrapText="1" readingOrder="1"/>
    </xf>
    <xf numFmtId="0" fontId="0" fillId="0" borderId="11" xfId="0" applyBorder="1" applyAlignment="1">
      <alignment horizontal="center" wrapText="1"/>
    </xf>
    <xf numFmtId="0" fontId="0" fillId="0" borderId="12" xfId="0" applyBorder="1" applyAlignment="1">
      <alignment horizontal="center" wrapText="1"/>
    </xf>
    <xf numFmtId="0" fontId="11" fillId="3" borderId="0" xfId="0" applyFont="1" applyFill="1" applyBorder="1" applyAlignment="1">
      <alignment horizontal="center" vertical="center" wrapText="1" readingOrder="1"/>
    </xf>
    <xf numFmtId="0" fontId="20" fillId="4" borderId="10" xfId="0" applyFont="1" applyFill="1" applyBorder="1" applyAlignment="1">
      <alignment horizontal="center" vertical="center" wrapText="1" readingOrder="1"/>
    </xf>
    <xf numFmtId="0" fontId="20" fillId="4" borderId="11" xfId="0" applyFont="1" applyFill="1" applyBorder="1" applyAlignment="1">
      <alignment horizontal="center" vertical="center" wrapText="1" readingOrder="1"/>
    </xf>
    <xf numFmtId="0" fontId="20" fillId="4" borderId="12" xfId="0" applyFont="1" applyFill="1" applyBorder="1" applyAlignment="1">
      <alignment horizontal="center" vertical="center" wrapText="1" readingOrder="1"/>
    </xf>
    <xf numFmtId="0" fontId="20" fillId="4" borderId="4" xfId="0" applyFont="1" applyFill="1" applyBorder="1" applyAlignment="1">
      <alignment horizontal="center" vertical="center" wrapText="1" readingOrder="1"/>
    </xf>
    <xf numFmtId="0" fontId="20" fillId="4" borderId="5" xfId="0" applyFont="1" applyFill="1" applyBorder="1" applyAlignment="1">
      <alignment horizontal="center" vertical="center" wrapText="1" readingOrder="1"/>
    </xf>
    <xf numFmtId="14" fontId="20" fillId="4" borderId="8" xfId="0" applyNumberFormat="1" applyFont="1" applyFill="1" applyBorder="1" applyAlignment="1">
      <alignment horizontal="center" vertical="center" wrapText="1" readingOrder="1"/>
    </xf>
    <xf numFmtId="0" fontId="20" fillId="4" borderId="9" xfId="0" applyFont="1" applyFill="1" applyBorder="1" applyAlignment="1">
      <alignment horizontal="center" vertical="center" wrapText="1" readingOrder="1"/>
    </xf>
    <xf numFmtId="0" fontId="20" fillId="4" borderId="13" xfId="0" applyFont="1" applyFill="1" applyBorder="1" applyAlignment="1">
      <alignment horizontal="center" vertical="center" wrapText="1" readingOrder="1"/>
    </xf>
    <xf numFmtId="0" fontId="20" fillId="4" borderId="2" xfId="0" applyFont="1" applyFill="1" applyBorder="1" applyAlignment="1">
      <alignment horizontal="center" vertical="center" wrapText="1" readingOrder="1"/>
    </xf>
    <xf numFmtId="0" fontId="20" fillId="4" borderId="14" xfId="0" applyFont="1" applyFill="1" applyBorder="1" applyAlignment="1">
      <alignment horizontal="center" vertical="center" wrapText="1" readingOrder="1"/>
    </xf>
    <xf numFmtId="14" fontId="20" fillId="4" borderId="15" xfId="0" applyNumberFormat="1" applyFont="1" applyFill="1" applyBorder="1" applyAlignment="1">
      <alignment horizontal="center" vertical="center" wrapText="1" readingOrder="1"/>
    </xf>
    <xf numFmtId="14" fontId="20" fillId="4" borderId="16" xfId="0" applyNumberFormat="1" applyFont="1" applyFill="1" applyBorder="1" applyAlignment="1">
      <alignment horizontal="center" vertical="center" wrapText="1" readingOrder="1"/>
    </xf>
    <xf numFmtId="0" fontId="23" fillId="4" borderId="6" xfId="0" applyFont="1" applyFill="1" applyBorder="1" applyAlignment="1">
      <alignment horizontal="left" vertical="center" wrapText="1" readingOrder="1"/>
    </xf>
    <xf numFmtId="0" fontId="23" fillId="4" borderId="7" xfId="0" applyFont="1" applyFill="1" applyBorder="1" applyAlignment="1">
      <alignment horizontal="left" vertical="center" wrapText="1" readingOrder="1"/>
    </xf>
    <xf numFmtId="0" fontId="21" fillId="4" borderId="4" xfId="0" applyFont="1" applyFill="1" applyBorder="1" applyAlignment="1">
      <alignment horizontal="left" vertical="center" wrapText="1" readingOrder="1"/>
    </xf>
    <xf numFmtId="0" fontId="21" fillId="4" borderId="5" xfId="0" applyFont="1" applyFill="1" applyBorder="1" applyAlignment="1">
      <alignment horizontal="left" vertical="center" wrapText="1" readingOrder="1"/>
    </xf>
    <xf numFmtId="0" fontId="10" fillId="3" borderId="10" xfId="0" applyFont="1" applyFill="1" applyBorder="1" applyAlignment="1">
      <alignment horizontal="center" vertical="center" textRotation="90" wrapText="1" readingOrder="1"/>
    </xf>
    <xf numFmtId="0" fontId="10" fillId="3" borderId="11" xfId="0" applyFont="1" applyFill="1" applyBorder="1" applyAlignment="1">
      <alignment horizontal="center" vertical="center" textRotation="90" wrapText="1" readingOrder="1"/>
    </xf>
    <xf numFmtId="0" fontId="10" fillId="3" borderId="12" xfId="0" applyFont="1" applyFill="1" applyBorder="1" applyAlignment="1">
      <alignment horizontal="center" vertical="center" textRotation="90" wrapText="1" readingOrder="1"/>
    </xf>
    <xf numFmtId="0" fontId="10" fillId="3" borderId="23" xfId="0" applyFont="1" applyFill="1" applyBorder="1" applyAlignment="1">
      <alignment horizontal="center" vertical="center" textRotation="90" wrapText="1" readingOrder="1"/>
    </xf>
    <xf numFmtId="0" fontId="10" fillId="3" borderId="25" xfId="0" applyFont="1" applyFill="1" applyBorder="1" applyAlignment="1">
      <alignment horizontal="center" vertical="center" textRotation="90" wrapText="1" readingOrder="1"/>
    </xf>
    <xf numFmtId="0" fontId="10" fillId="3" borderId="27" xfId="0" applyFont="1" applyFill="1" applyBorder="1" applyAlignment="1">
      <alignment horizontal="center" vertical="center" textRotation="90" wrapText="1" readingOrder="1"/>
    </xf>
    <xf numFmtId="0" fontId="20" fillId="4" borderId="0" xfId="1" applyFont="1" applyFill="1" applyBorder="1" applyAlignment="1">
      <alignment horizontal="center" wrapText="1"/>
    </xf>
    <xf numFmtId="14" fontId="20" fillId="4" borderId="40" xfId="0" applyNumberFormat="1" applyFont="1" applyFill="1" applyBorder="1" applyAlignment="1">
      <alignment horizontal="center" vertical="center" wrapText="1" readingOrder="1"/>
    </xf>
    <xf numFmtId="14" fontId="20" fillId="4" borderId="41" xfId="0" applyNumberFormat="1" applyFont="1" applyFill="1" applyBorder="1" applyAlignment="1">
      <alignment horizontal="center" vertical="center" wrapText="1" readingOrder="1"/>
    </xf>
    <xf numFmtId="0" fontId="23" fillId="4" borderId="8" xfId="0" applyFont="1" applyFill="1" applyBorder="1" applyAlignment="1">
      <alignment horizontal="left" vertical="center" wrapText="1" readingOrder="1"/>
    </xf>
    <xf numFmtId="0" fontId="23" fillId="4" borderId="9" xfId="0" applyFont="1" applyFill="1" applyBorder="1" applyAlignment="1">
      <alignment horizontal="left" vertical="center" wrapText="1" readingOrder="1"/>
    </xf>
    <xf numFmtId="0" fontId="10" fillId="3" borderId="35" xfId="0" applyFont="1" applyFill="1" applyBorder="1" applyAlignment="1">
      <alignment horizontal="center" vertical="center" textRotation="90" wrapText="1" readingOrder="1"/>
    </xf>
    <xf numFmtId="0" fontId="10" fillId="3" borderId="37" xfId="0" applyFont="1" applyFill="1" applyBorder="1" applyAlignment="1">
      <alignment horizontal="center" vertical="center" textRotation="90" wrapText="1" readingOrder="1"/>
    </xf>
    <xf numFmtId="0" fontId="10" fillId="3" borderId="22" xfId="0" applyFont="1" applyFill="1" applyBorder="1" applyAlignment="1">
      <alignment horizontal="center" vertical="center" textRotation="90" wrapText="1" readingOrder="1"/>
    </xf>
    <xf numFmtId="0" fontId="25" fillId="3" borderId="35" xfId="0" applyFont="1" applyFill="1" applyBorder="1" applyAlignment="1">
      <alignment horizontal="center" vertical="center" wrapText="1" readingOrder="1"/>
    </xf>
    <xf numFmtId="0" fontId="25" fillId="3" borderId="37" xfId="0" applyFont="1" applyFill="1" applyBorder="1" applyAlignment="1">
      <alignment horizontal="center" vertical="center" wrapText="1" readingOrder="1"/>
    </xf>
    <xf numFmtId="0" fontId="25" fillId="3" borderId="22" xfId="0" applyFont="1" applyFill="1" applyBorder="1" applyAlignment="1">
      <alignment horizontal="center" vertical="center" wrapText="1" readingOrder="1"/>
    </xf>
    <xf numFmtId="0" fontId="22" fillId="4" borderId="6" xfId="0" applyFont="1" applyFill="1" applyBorder="1" applyAlignment="1">
      <alignment horizontal="left" vertical="center" wrapText="1" readingOrder="1"/>
    </xf>
    <xf numFmtId="0" fontId="22" fillId="4" borderId="7" xfId="0" applyFont="1" applyFill="1" applyBorder="1" applyAlignment="1">
      <alignment horizontal="left" vertical="center" wrapText="1" readingOrder="1"/>
    </xf>
    <xf numFmtId="14" fontId="20" fillId="4" borderId="38" xfId="0" applyNumberFormat="1" applyFont="1" applyFill="1" applyBorder="1" applyAlignment="1">
      <alignment horizontal="center" vertical="center" wrapText="1" readingOrder="1"/>
    </xf>
    <xf numFmtId="14" fontId="20" fillId="4" borderId="39" xfId="0" applyNumberFormat="1" applyFont="1" applyFill="1" applyBorder="1" applyAlignment="1">
      <alignment horizontal="center" vertical="center" wrapText="1" readingOrder="1"/>
    </xf>
    <xf numFmtId="0" fontId="25" fillId="3" borderId="10" xfId="0" applyFont="1" applyFill="1" applyBorder="1" applyAlignment="1">
      <alignment horizontal="center" vertical="center" wrapText="1" readingOrder="1"/>
    </xf>
    <xf numFmtId="0" fontId="25" fillId="3" borderId="11" xfId="0" applyFont="1" applyFill="1" applyBorder="1" applyAlignment="1">
      <alignment horizontal="center" vertical="center" wrapText="1" readingOrder="1"/>
    </xf>
    <xf numFmtId="0" fontId="25" fillId="3" borderId="12" xfId="0" applyFont="1" applyFill="1" applyBorder="1" applyAlignment="1">
      <alignment horizontal="center" vertical="center" wrapText="1" readingOrder="1"/>
    </xf>
    <xf numFmtId="14" fontId="20" fillId="4" borderId="42" xfId="0" applyNumberFormat="1" applyFont="1" applyFill="1" applyBorder="1" applyAlignment="1">
      <alignment horizontal="center" vertical="center" wrapText="1" readingOrder="1"/>
    </xf>
    <xf numFmtId="0" fontId="48" fillId="0" borderId="11" xfId="0" applyFont="1" applyBorder="1" applyAlignment="1">
      <alignment horizontal="center" vertical="center" wrapText="1" readingOrder="1"/>
    </xf>
    <xf numFmtId="0" fontId="48" fillId="0" borderId="12" xfId="0" applyFont="1" applyBorder="1" applyAlignment="1">
      <alignment horizontal="center" vertical="center" wrapText="1" readingOrder="1"/>
    </xf>
    <xf numFmtId="0" fontId="48" fillId="0" borderId="22" xfId="0" applyFont="1" applyBorder="1" applyAlignment="1">
      <alignment horizontal="center" vertical="center" wrapText="1" readingOrder="1"/>
    </xf>
    <xf numFmtId="0" fontId="11" fillId="3" borderId="11" xfId="0" applyFont="1" applyFill="1" applyBorder="1" applyAlignment="1">
      <alignment horizontal="center" vertical="center" wrapText="1" readingOrder="1"/>
    </xf>
    <xf numFmtId="0" fontId="11" fillId="3" borderId="12" xfId="0" applyFont="1" applyFill="1" applyBorder="1" applyAlignment="1">
      <alignment horizontal="center" vertical="center" wrapText="1" readingOrder="1"/>
    </xf>
    <xf numFmtId="0" fontId="11" fillId="3" borderId="35" xfId="0" applyFont="1" applyFill="1" applyBorder="1" applyAlignment="1">
      <alignment horizontal="center" vertical="center" wrapText="1" readingOrder="1"/>
    </xf>
    <xf numFmtId="0" fontId="11" fillId="3" borderId="37" xfId="0" applyFont="1" applyFill="1" applyBorder="1" applyAlignment="1">
      <alignment horizontal="center" vertical="center" wrapText="1" readingOrder="1"/>
    </xf>
    <xf numFmtId="0" fontId="11" fillId="3" borderId="22" xfId="0" applyFont="1" applyFill="1" applyBorder="1" applyAlignment="1">
      <alignment horizontal="center" vertical="center" wrapText="1" readingOrder="1"/>
    </xf>
  </cellXfs>
  <cellStyles count="9">
    <cellStyle name="Comma" xfId="6" builtinId="3"/>
    <cellStyle name="Comma 2" xfId="2" xr:uid="{00000000-0005-0000-0000-000001000000}"/>
    <cellStyle name="Currency" xfId="4" builtinId="4"/>
    <cellStyle name="Currency 2" xfId="3" xr:uid="{00000000-0005-0000-0000-000003000000}"/>
    <cellStyle name="Hyperlink" xfId="8" builtinId="8"/>
    <cellStyle name="Normal" xfId="0" builtinId="0"/>
    <cellStyle name="Normal 2" xfId="1" xr:uid="{00000000-0005-0000-0000-000006000000}"/>
    <cellStyle name="Normal 3" xfId="7" xr:uid="{00000000-0005-0000-0000-000007000000}"/>
    <cellStyle name="Percent" xfId="5" builtinId="5"/>
  </cellStyles>
  <dxfs count="0"/>
  <tableStyles count="0" defaultTableStyle="TableStyleMedium2" defaultPivotStyle="PivotStyleLight16"/>
  <colors>
    <mruColors>
      <color rgb="FF1B65A9"/>
      <color rgb="FF0000FF"/>
      <color rgb="FF0079FF"/>
      <color rgb="FFFA6E1E"/>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00FF"/>
  </sheetPr>
  <dimension ref="A1:A36"/>
  <sheetViews>
    <sheetView tabSelected="1" zoomScale="65" zoomScaleNormal="65" zoomScaleSheetLayoutView="85" workbookViewId="0"/>
  </sheetViews>
  <sheetFormatPr defaultColWidth="9.140625" defaultRowHeight="19.5" x14ac:dyDescent="0.3"/>
  <cols>
    <col min="1" max="1" width="65" style="236" bestFit="1" customWidth="1"/>
    <col min="2" max="16384" width="9.140625" style="236"/>
  </cols>
  <sheetData>
    <row r="1" spans="1:1" x14ac:dyDescent="0.3">
      <c r="A1" s="235" t="s">
        <v>258</v>
      </c>
    </row>
    <row r="3" spans="1:1" x14ac:dyDescent="0.3">
      <c r="A3" s="237" t="s">
        <v>260</v>
      </c>
    </row>
    <row r="4" spans="1:1" x14ac:dyDescent="0.3">
      <c r="A4" s="238" t="s">
        <v>261</v>
      </c>
    </row>
    <row r="5" spans="1:1" x14ac:dyDescent="0.3">
      <c r="A5" s="238" t="s">
        <v>219</v>
      </c>
    </row>
    <row r="6" spans="1:1" x14ac:dyDescent="0.3">
      <c r="A6" s="238" t="s">
        <v>262</v>
      </c>
    </row>
    <row r="7" spans="1:1" x14ac:dyDescent="0.3">
      <c r="A7" s="238" t="s">
        <v>263</v>
      </c>
    </row>
    <row r="8" spans="1:1" x14ac:dyDescent="0.3">
      <c r="A8" s="238" t="s">
        <v>264</v>
      </c>
    </row>
    <row r="9" spans="1:1" x14ac:dyDescent="0.3">
      <c r="A9" s="238" t="s">
        <v>265</v>
      </c>
    </row>
    <row r="10" spans="1:1" x14ac:dyDescent="0.3">
      <c r="A10" s="238" t="s">
        <v>266</v>
      </c>
    </row>
    <row r="11" spans="1:1" x14ac:dyDescent="0.3">
      <c r="A11" s="238" t="s">
        <v>267</v>
      </c>
    </row>
    <row r="12" spans="1:1" x14ac:dyDescent="0.3">
      <c r="A12" s="238" t="s">
        <v>268</v>
      </c>
    </row>
    <row r="13" spans="1:1" x14ac:dyDescent="0.3">
      <c r="A13" s="238" t="s">
        <v>366</v>
      </c>
    </row>
    <row r="14" spans="1:1" x14ac:dyDescent="0.3">
      <c r="A14" s="238" t="s">
        <v>161</v>
      </c>
    </row>
    <row r="15" spans="1:1" x14ac:dyDescent="0.3">
      <c r="A15" s="238" t="s">
        <v>133</v>
      </c>
    </row>
    <row r="17" spans="1:1" x14ac:dyDescent="0.3">
      <c r="A17" s="237" t="s">
        <v>274</v>
      </c>
    </row>
    <row r="18" spans="1:1" x14ac:dyDescent="0.3">
      <c r="A18" s="238" t="s">
        <v>261</v>
      </c>
    </row>
    <row r="19" spans="1:1" x14ac:dyDescent="0.3">
      <c r="A19" s="238" t="s">
        <v>88</v>
      </c>
    </row>
    <row r="20" spans="1:1" x14ac:dyDescent="0.3">
      <c r="A20" s="238" t="s">
        <v>264</v>
      </c>
    </row>
    <row r="21" spans="1:1" x14ac:dyDescent="0.3">
      <c r="A21" s="238" t="s">
        <v>269</v>
      </c>
    </row>
    <row r="22" spans="1:1" x14ac:dyDescent="0.3">
      <c r="A22" s="238" t="s">
        <v>265</v>
      </c>
    </row>
    <row r="23" spans="1:1" x14ac:dyDescent="0.3">
      <c r="A23" s="238" t="s">
        <v>270</v>
      </c>
    </row>
    <row r="24" spans="1:1" x14ac:dyDescent="0.3">
      <c r="A24" s="238" t="s">
        <v>263</v>
      </c>
    </row>
    <row r="25" spans="1:1" x14ac:dyDescent="0.3">
      <c r="A25" s="238" t="s">
        <v>161</v>
      </c>
    </row>
    <row r="26" spans="1:1" x14ac:dyDescent="0.3">
      <c r="A26" s="238" t="s">
        <v>133</v>
      </c>
    </row>
    <row r="28" spans="1:1" x14ac:dyDescent="0.3">
      <c r="A28" s="237" t="s">
        <v>275</v>
      </c>
    </row>
    <row r="29" spans="1:1" x14ac:dyDescent="0.3">
      <c r="A29" s="238" t="s">
        <v>261</v>
      </c>
    </row>
    <row r="30" spans="1:1" x14ac:dyDescent="0.3">
      <c r="A30" s="238" t="s">
        <v>88</v>
      </c>
    </row>
    <row r="31" spans="1:1" x14ac:dyDescent="0.3">
      <c r="A31" s="238" t="s">
        <v>264</v>
      </c>
    </row>
    <row r="32" spans="1:1" x14ac:dyDescent="0.3">
      <c r="A32" s="238" t="s">
        <v>265</v>
      </c>
    </row>
    <row r="33" spans="1:1" x14ac:dyDescent="0.3">
      <c r="A33" s="238" t="s">
        <v>262</v>
      </c>
    </row>
    <row r="34" spans="1:1" x14ac:dyDescent="0.3">
      <c r="A34" s="238" t="s">
        <v>263</v>
      </c>
    </row>
    <row r="35" spans="1:1" x14ac:dyDescent="0.3">
      <c r="A35" s="238" t="s">
        <v>161</v>
      </c>
    </row>
    <row r="36" spans="1:1" x14ac:dyDescent="0.3">
      <c r="A36" s="238" t="s">
        <v>133</v>
      </c>
    </row>
  </sheetData>
  <hyperlinks>
    <hyperlink ref="A4" location="'Consolidated Summary Metrics'!Print_Area" display="Summary Metrics" xr:uid="{00000000-0004-0000-0000-000000000000}"/>
    <hyperlink ref="A5" location="'Consolidated Revenue'!Print_Area" display="Revenue" xr:uid="{00000000-0004-0000-0000-000001000000}"/>
    <hyperlink ref="A6" location="'Consolidated Gross Profit'!Print_Area" display="Gross Profit" xr:uid="{00000000-0004-0000-0000-000002000000}"/>
    <hyperlink ref="A7" location="'Cons Op &amp; EBITDA Margins'!Print_Area" display="Operating &amp; EBITDA Margins" xr:uid="{00000000-0004-0000-0000-000003000000}"/>
    <hyperlink ref="A8" location="'Consolidated Constant Currency'!Print_Area" display="Constant Currency" xr:uid="{00000000-0004-0000-0000-000004000000}"/>
    <hyperlink ref="A9" location="'Consolidated Operating Expenses'!Print_Area" display="Operating Expenses" xr:uid="{00000000-0004-0000-0000-000005000000}"/>
    <hyperlink ref="A10" location="'Cons Other Expense, Tax &amp; NI'!Print_Area" display="Other Expense, Tax &amp; Net Income" xr:uid="{00000000-0004-0000-0000-000006000000}"/>
    <hyperlink ref="A11" location="'Consolidated EPS &amp; DSO'!Print_Area" display="EPS and Diluted Shares Outstanding" xr:uid="{00000000-0004-0000-0000-000007000000}"/>
    <hyperlink ref="A12" location="'Consolidated Debt'!Print_Area" display="Debt" xr:uid="{00000000-0004-0000-0000-000008000000}"/>
    <hyperlink ref="A14" location="'Consolidated Footnotes'!Print_Area" display="Footnotes" xr:uid="{00000000-0004-0000-0000-000009000000}"/>
    <hyperlink ref="A15" location="'Suppl. Info Non-GAAP Measures'!Print_Area" display="Supplemental Information About Non-GAAP Financial Measures" xr:uid="{00000000-0004-0000-0000-00000A000000}"/>
    <hyperlink ref="A18" location="'CES Summary Metrics'!A1" display="Summary Metrics" xr:uid="{00000000-0004-0000-0000-00000B000000}"/>
    <hyperlink ref="A19" location="'CES Revenue Metrics'!Print_Area" display="Revenue Metrics" xr:uid="{00000000-0004-0000-0000-00000C000000}"/>
    <hyperlink ref="A20" location="'CES Constant Currency'!Print_Area" display="Constant Currency" xr:uid="{00000000-0004-0000-0000-00000D000000}"/>
    <hyperlink ref="A21" location="'CES Cloud Metrics'!Print_Area" display="Cloud Metrics" xr:uid="{00000000-0004-0000-0000-00000E000000}"/>
    <hyperlink ref="A22" location="'CES Operating Expenses'!Print_Area" display="Operating Expenses" xr:uid="{00000000-0004-0000-0000-00000F000000}"/>
    <hyperlink ref="A23" location="'CES Gross Profit'!Print_Area" display="Gross Profit " xr:uid="{00000000-0004-0000-0000-000010000000}"/>
    <hyperlink ref="A24" location="'CES Operating &amp; EBITDA Margins'!Print_Area" display="Operating &amp; EBITDA Margins" xr:uid="{00000000-0004-0000-0000-000011000000}"/>
    <hyperlink ref="A25" location="'CES Footnotes'!A1" display="Footnotes" xr:uid="{00000000-0004-0000-0000-000012000000}"/>
    <hyperlink ref="A26" location="'CES Suppl. Info NG Measures'!Print_Area" display="Supplemental Information About Non-GAAP Financial Measures" xr:uid="{00000000-0004-0000-0000-000013000000}"/>
    <hyperlink ref="A29" location="'CIS Summary Metrics'!Print_Area" display="Summary Metrics" xr:uid="{00000000-0004-0000-0000-000014000000}"/>
    <hyperlink ref="A30" location="'CIS Revenue Metrics'!A1" display="Revenue Metrics" xr:uid="{00000000-0004-0000-0000-000015000000}"/>
    <hyperlink ref="A31" location="'CIS Constant Currency'!A1" display="Constant Currency" xr:uid="{00000000-0004-0000-0000-000016000000}"/>
    <hyperlink ref="A32" location="'CIS Operating Expenses'!A1" display="Operating Expenses" xr:uid="{00000000-0004-0000-0000-000017000000}"/>
    <hyperlink ref="A33" location="'CIS Gross Profit'!A1" display="Gross Profit" xr:uid="{00000000-0004-0000-0000-000018000000}"/>
    <hyperlink ref="A34" location="'CIS Operating &amp; EBITDA Margins'!A1" display="Operating &amp; EBITDA Margins" xr:uid="{00000000-0004-0000-0000-000019000000}"/>
    <hyperlink ref="A35" location="'CIS Footnotes'!A1" display="Footnotes" xr:uid="{00000000-0004-0000-0000-00001A000000}"/>
    <hyperlink ref="A36" location="'CIS Suppl. Info NG Measures'!A1" display="Supplemental Information About Non-GAAP Financial Measures" xr:uid="{00000000-0004-0000-0000-00001B000000}"/>
    <hyperlink ref="A13" location="'Consol Addl Info Apax Invest'!A1" display="Addl Info Apax Investment" xr:uid="{AFC32E8B-0E3C-4AA1-9E7E-C4E854797979}"/>
  </hyperlinks>
  <pageMargins left="0.7" right="0.7" top="0.75" bottom="0.75" header="0.3" footer="0.3"/>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00FF"/>
    <pageSetUpPr fitToPage="1"/>
  </sheetPr>
  <dimension ref="A1:O22"/>
  <sheetViews>
    <sheetView zoomScale="65" zoomScaleNormal="65" zoomScaleSheetLayoutView="100" workbookViewId="0">
      <pane xSplit="1" ySplit="4" topLeftCell="B5" activePane="bottomRight" state="frozen"/>
      <selection activeCell="A30" sqref="A30"/>
      <selection pane="topRight" activeCell="A30" sqref="A30"/>
      <selection pane="bottomLeft" activeCell="A30" sqref="A30"/>
      <selection pane="bottomRight" activeCell="B5" sqref="B5"/>
    </sheetView>
  </sheetViews>
  <sheetFormatPr defaultColWidth="9.140625" defaultRowHeight="12.75" outlineLevelCol="1" x14ac:dyDescent="0.2"/>
  <cols>
    <col min="1" max="1" width="128.7109375" style="17" bestFit="1" customWidth="1"/>
    <col min="2" max="4" width="20.7109375" style="17" customWidth="1" outlineLevel="1"/>
    <col min="5" max="9" width="20.7109375" style="17" customWidth="1"/>
    <col min="10" max="16384" width="9.140625" style="17"/>
  </cols>
  <sheetData>
    <row r="1" spans="1:15" ht="18" x14ac:dyDescent="0.25">
      <c r="A1" s="210" t="s">
        <v>213</v>
      </c>
    </row>
    <row r="2" spans="1:15" s="3" customFormat="1" ht="11.25" x14ac:dyDescent="0.2">
      <c r="A2" s="1"/>
      <c r="B2" s="1"/>
      <c r="C2" s="1"/>
    </row>
    <row r="3" spans="1:15" s="24" customFormat="1" ht="30" customHeight="1" x14ac:dyDescent="0.25">
      <c r="A3" s="78"/>
      <c r="B3" s="81" t="s">
        <v>73</v>
      </c>
      <c r="C3" s="81" t="s">
        <v>73</v>
      </c>
      <c r="D3" s="81" t="s">
        <v>73</v>
      </c>
      <c r="E3" s="81" t="s">
        <v>73</v>
      </c>
      <c r="F3" s="290" t="s">
        <v>73</v>
      </c>
      <c r="G3" s="291" t="s">
        <v>73</v>
      </c>
      <c r="H3" s="296" t="s">
        <v>73</v>
      </c>
      <c r="I3" s="303" t="s">
        <v>73</v>
      </c>
    </row>
    <row r="4" spans="1:15" s="24" customFormat="1" ht="30" customHeight="1" x14ac:dyDescent="0.25">
      <c r="A4" s="83" t="s">
        <v>0</v>
      </c>
      <c r="B4" s="84" t="s">
        <v>160</v>
      </c>
      <c r="C4" s="84" t="s">
        <v>159</v>
      </c>
      <c r="D4" s="84" t="s">
        <v>100</v>
      </c>
      <c r="E4" s="84" t="s">
        <v>314</v>
      </c>
      <c r="F4" s="84" t="s">
        <v>327</v>
      </c>
      <c r="G4" s="84" t="s">
        <v>330</v>
      </c>
      <c r="H4" s="84" t="s">
        <v>338</v>
      </c>
      <c r="I4" s="84" t="s">
        <v>346</v>
      </c>
    </row>
    <row r="5" spans="1:15" s="47" customFormat="1" ht="16.5" x14ac:dyDescent="0.25">
      <c r="A5" s="156"/>
      <c r="B5" s="68"/>
      <c r="C5" s="68"/>
      <c r="D5" s="68"/>
      <c r="E5" s="68"/>
      <c r="F5" s="68"/>
      <c r="G5" s="68"/>
      <c r="H5" s="68"/>
      <c r="I5" s="68"/>
      <c r="J5" s="106"/>
      <c r="K5" s="68"/>
      <c r="L5" s="68"/>
      <c r="M5" s="52"/>
      <c r="N5" s="106"/>
      <c r="O5" s="162"/>
    </row>
    <row r="6" spans="1:15" s="52" customFormat="1" ht="16.5" x14ac:dyDescent="0.25">
      <c r="A6" s="180" t="s">
        <v>74</v>
      </c>
      <c r="B6" s="56">
        <v>4.5999999999999996</v>
      </c>
      <c r="C6" s="56">
        <v>4.5</v>
      </c>
      <c r="D6" s="56">
        <v>4.3</v>
      </c>
      <c r="E6" s="56">
        <v>4.25</v>
      </c>
      <c r="F6" s="56">
        <v>4.25</v>
      </c>
      <c r="G6" s="56">
        <v>380.22899999999998</v>
      </c>
      <c r="H6" s="56">
        <v>383.44900000000001</v>
      </c>
      <c r="I6" s="56">
        <v>386.71300000000002</v>
      </c>
    </row>
    <row r="7" spans="1:15" s="52" customFormat="1" ht="16.5" x14ac:dyDescent="0.25">
      <c r="A7" s="180" t="s">
        <v>75</v>
      </c>
      <c r="B7" s="181">
        <v>744.3</v>
      </c>
      <c r="C7" s="181">
        <v>768.5</v>
      </c>
      <c r="D7" s="181">
        <v>777.8</v>
      </c>
      <c r="E7" s="181">
        <v>832.798</v>
      </c>
      <c r="F7" s="181">
        <v>990.39</v>
      </c>
      <c r="G7" s="181">
        <v>603.875</v>
      </c>
      <c r="H7" s="181">
        <v>403.29199999999997</v>
      </c>
      <c r="I7" s="181">
        <v>402.78100000000001</v>
      </c>
    </row>
    <row r="8" spans="1:15" s="52" customFormat="1" ht="16.5" x14ac:dyDescent="0.25">
      <c r="A8" s="60" t="s">
        <v>76</v>
      </c>
      <c r="B8" s="182">
        <v>60.6</v>
      </c>
      <c r="C8" s="182">
        <v>50.1</v>
      </c>
      <c r="D8" s="182">
        <v>36.6</v>
      </c>
      <c r="E8" s="182">
        <v>22.327000000000002</v>
      </c>
      <c r="F8" s="182">
        <v>18.672999999999998</v>
      </c>
      <c r="G8" s="182">
        <v>15.032999999999999</v>
      </c>
      <c r="H8" s="182">
        <v>11.334</v>
      </c>
      <c r="I8" s="182">
        <v>7.5179999999999998</v>
      </c>
    </row>
    <row r="9" spans="1:15" s="62" customFormat="1" ht="16.5" x14ac:dyDescent="0.25">
      <c r="A9" s="67" t="s">
        <v>77</v>
      </c>
      <c r="B9" s="183">
        <f t="shared" ref="B9" si="0">SUM(B6:B8)</f>
        <v>809.5</v>
      </c>
      <c r="C9" s="183">
        <f t="shared" ref="C9:D9" si="1">SUM(C6:C8)</f>
        <v>823.1</v>
      </c>
      <c r="D9" s="183">
        <f t="shared" si="1"/>
        <v>818.69999999999993</v>
      </c>
      <c r="E9" s="183">
        <f t="shared" ref="E9:F9" si="2">SUM(E6:E8)</f>
        <v>859.375</v>
      </c>
      <c r="F9" s="183">
        <f t="shared" si="2"/>
        <v>1013.313</v>
      </c>
      <c r="G9" s="183">
        <f t="shared" ref="G9:H9" si="3">SUM(G6:G8)</f>
        <v>999.13700000000006</v>
      </c>
      <c r="H9" s="183">
        <f t="shared" si="3"/>
        <v>798.07499999999993</v>
      </c>
      <c r="I9" s="183">
        <f t="shared" ref="I9" si="4">SUM(I6:I8)</f>
        <v>797.01200000000006</v>
      </c>
    </row>
    <row r="10" spans="1:15" s="52" customFormat="1" ht="16.5" x14ac:dyDescent="0.25">
      <c r="A10" s="184" t="s">
        <v>78</v>
      </c>
      <c r="B10" s="185"/>
      <c r="C10" s="185"/>
      <c r="D10" s="185"/>
      <c r="E10" s="185"/>
      <c r="F10" s="185"/>
      <c r="G10" s="185"/>
      <c r="H10" s="185"/>
      <c r="I10" s="185"/>
    </row>
    <row r="11" spans="1:15" s="52" customFormat="1" ht="16.5" x14ac:dyDescent="0.25">
      <c r="A11" s="184" t="s">
        <v>79</v>
      </c>
      <c r="B11" s="186">
        <v>307.39999999999998</v>
      </c>
      <c r="C11" s="186">
        <v>337.9</v>
      </c>
      <c r="D11" s="186">
        <v>370</v>
      </c>
      <c r="E11" s="186">
        <v>379.14600000000002</v>
      </c>
      <c r="F11" s="186">
        <v>556.67100000000005</v>
      </c>
      <c r="G11" s="186">
        <v>731.101</v>
      </c>
      <c r="H11" s="186">
        <v>526.81500000000005</v>
      </c>
      <c r="I11" s="186">
        <v>663.84299999999996</v>
      </c>
    </row>
    <row r="12" spans="1:15" s="52" customFormat="1" ht="16.5" x14ac:dyDescent="0.25">
      <c r="A12" s="184" t="s">
        <v>80</v>
      </c>
      <c r="B12" s="181">
        <v>9.1999999999999993</v>
      </c>
      <c r="C12" s="181">
        <v>33.299999999999997</v>
      </c>
      <c r="D12" s="181">
        <v>42.3</v>
      </c>
      <c r="E12" s="181">
        <v>43.86</v>
      </c>
      <c r="F12" s="181">
        <v>46.451000000000001</v>
      </c>
      <c r="G12" s="181">
        <v>31.661999999999999</v>
      </c>
      <c r="H12" s="181">
        <v>24.222999999999999</v>
      </c>
      <c r="I12" s="181">
        <v>27.056999999999999</v>
      </c>
    </row>
    <row r="13" spans="1:15" s="52" customFormat="1" ht="16.5" x14ac:dyDescent="0.25">
      <c r="A13" s="60" t="s">
        <v>81</v>
      </c>
      <c r="B13" s="181">
        <v>3.2</v>
      </c>
      <c r="C13" s="181">
        <v>6.6</v>
      </c>
      <c r="D13" s="181">
        <v>32.299999999999997</v>
      </c>
      <c r="E13" s="181">
        <v>20.215</v>
      </c>
      <c r="F13" s="181">
        <v>19.741</v>
      </c>
      <c r="G13" s="181">
        <v>82.442999999999998</v>
      </c>
      <c r="H13" s="181">
        <v>104.45399999999999</v>
      </c>
      <c r="I13" s="181">
        <v>51.012999999999998</v>
      </c>
    </row>
    <row r="14" spans="1:15" s="52" customFormat="1" ht="16.5" x14ac:dyDescent="0.25">
      <c r="A14" s="60" t="s">
        <v>82</v>
      </c>
      <c r="B14" s="182">
        <v>54.6</v>
      </c>
      <c r="C14" s="182">
        <v>28.4</v>
      </c>
      <c r="D14" s="182">
        <v>23.1</v>
      </c>
      <c r="E14" s="182">
        <v>26.393000000000001</v>
      </c>
      <c r="F14" s="182">
        <v>22.599</v>
      </c>
      <c r="G14" s="182">
        <v>22.478999999999999</v>
      </c>
      <c r="H14" s="182">
        <v>22.026</v>
      </c>
      <c r="I14" s="182">
        <v>15.712</v>
      </c>
    </row>
    <row r="15" spans="1:15" s="62" customFormat="1" ht="16.5" x14ac:dyDescent="0.25">
      <c r="A15" s="187" t="s">
        <v>83</v>
      </c>
      <c r="B15" s="68">
        <f t="shared" ref="B15:G15" si="5">+B9-SUM(B11:B14)</f>
        <v>435.1</v>
      </c>
      <c r="C15" s="68">
        <f t="shared" si="5"/>
        <v>416.90000000000003</v>
      </c>
      <c r="D15" s="68">
        <f t="shared" si="5"/>
        <v>350.99999999999989</v>
      </c>
      <c r="E15" s="68">
        <f t="shared" si="5"/>
        <v>389.76099999999997</v>
      </c>
      <c r="F15" s="68">
        <f t="shared" si="5"/>
        <v>367.85099999999989</v>
      </c>
      <c r="G15" s="68">
        <f t="shared" si="5"/>
        <v>131.452</v>
      </c>
      <c r="H15" s="68">
        <f t="shared" ref="H15" si="6">+H9-SUM(H11:H14)</f>
        <v>120.55700000000002</v>
      </c>
      <c r="I15" s="96">
        <f>+I9-SUM(I11:I14)</f>
        <v>39.387000000000057</v>
      </c>
    </row>
    <row r="16" spans="1:15" x14ac:dyDescent="0.2">
      <c r="A16" s="31"/>
    </row>
    <row r="17" spans="1:9" x14ac:dyDescent="0.2">
      <c r="A17" s="31"/>
    </row>
    <row r="20" spans="1:9" s="18" customFormat="1" x14ac:dyDescent="0.2">
      <c r="D20" s="30"/>
      <c r="E20" s="30"/>
      <c r="F20" s="30"/>
      <c r="G20" s="30"/>
      <c r="H20" s="30"/>
      <c r="I20" s="30"/>
    </row>
    <row r="21" spans="1:9" s="19" customFormat="1" x14ac:dyDescent="0.2"/>
    <row r="22" spans="1:9" s="18" customFormat="1" x14ac:dyDescent="0.2"/>
  </sheetData>
  <pageMargins left="0.25" right="0.25" top="0.75" bottom="0.75" header="0.3" footer="0.3"/>
  <pageSetup scale="4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4B655-48C9-4C5C-B86C-0047C02E335E}">
  <sheetPr>
    <tabColor rgb="FF0000FF"/>
    <pageSetUpPr fitToPage="1"/>
  </sheetPr>
  <dimension ref="A1:X156"/>
  <sheetViews>
    <sheetView zoomScale="65" zoomScaleNormal="65" workbookViewId="0">
      <pane xSplit="1" ySplit="4" topLeftCell="B5" activePane="bottomRight" state="frozen"/>
      <selection activeCell="A30" sqref="A30"/>
      <selection pane="topRight" activeCell="A30" sqref="A30"/>
      <selection pane="bottomLeft" activeCell="A30" sqref="A30"/>
      <selection pane="bottomRight" activeCell="B5" sqref="B5"/>
    </sheetView>
  </sheetViews>
  <sheetFormatPr defaultColWidth="9.140625" defaultRowHeight="14.25" outlineLevelCol="2" x14ac:dyDescent="0.2"/>
  <cols>
    <col min="1" max="1" width="140.42578125" style="4" customWidth="1"/>
    <col min="2" max="3" width="20.7109375" style="4" customWidth="1" outlineLevel="1"/>
    <col min="4" max="4" width="1.7109375" style="3" hidden="1" customWidth="1" outlineLevel="2"/>
    <col min="5" max="8" width="20.7109375" style="4" hidden="1" customWidth="1" outlineLevel="2"/>
    <col min="9" max="9" width="1.7109375" style="8" hidden="1" customWidth="1" outlineLevel="2"/>
    <col min="10" max="10" width="20.7109375" style="4" customWidth="1" outlineLevel="1" collapsed="1"/>
    <col min="11" max="11" width="1.7109375" style="8" customWidth="1" outlineLevel="1"/>
    <col min="12" max="13" width="20.7109375" style="4" customWidth="1" outlineLevel="2"/>
    <col min="14" max="15" width="20.7109375" style="3" customWidth="1" outlineLevel="2"/>
    <col min="16" max="16" width="1.42578125" style="82" customWidth="1" outlineLevel="1"/>
    <col min="17" max="17" width="20.7109375" style="4" customWidth="1" outlineLevel="1"/>
    <col min="18" max="18" width="2.140625" style="8" customWidth="1" outlineLevel="1"/>
    <col min="19" max="22" width="20.7109375" style="3" customWidth="1"/>
    <col min="23" max="23" width="2.140625" style="8" customWidth="1"/>
    <col min="24" max="24" width="20.7109375" style="4" customWidth="1"/>
    <col min="25" max="16384" width="9.140625" style="8"/>
  </cols>
  <sheetData>
    <row r="1" spans="1:24" s="164" customFormat="1" ht="18" x14ac:dyDescent="0.25">
      <c r="A1" s="210" t="s">
        <v>363</v>
      </c>
      <c r="B1" s="163"/>
      <c r="C1" s="163"/>
      <c r="D1" s="163"/>
      <c r="E1" s="163"/>
      <c r="F1" s="163"/>
      <c r="G1" s="163"/>
      <c r="H1" s="163"/>
      <c r="J1" s="163"/>
      <c r="L1" s="163"/>
      <c r="M1" s="163"/>
      <c r="N1" s="163"/>
      <c r="O1" s="163"/>
      <c r="P1" s="82"/>
      <c r="Q1" s="163"/>
      <c r="S1" s="163"/>
      <c r="T1" s="163"/>
      <c r="U1" s="163"/>
      <c r="V1" s="163"/>
      <c r="X1" s="163"/>
    </row>
    <row r="2" spans="1:24" ht="14.25" customHeight="1" x14ac:dyDescent="0.2">
      <c r="A2" s="2"/>
      <c r="B2" s="3"/>
      <c r="C2" s="3"/>
      <c r="E2" s="3"/>
      <c r="F2" s="3"/>
      <c r="G2" s="3"/>
      <c r="H2" s="3"/>
      <c r="J2" s="3"/>
      <c r="L2" s="3"/>
      <c r="M2" s="3"/>
    </row>
    <row r="3" spans="1:24" s="24" customFormat="1" ht="30" customHeight="1" x14ac:dyDescent="0.25">
      <c r="A3" s="78"/>
      <c r="B3" s="313" t="s">
        <v>31</v>
      </c>
      <c r="C3" s="313" t="s">
        <v>31</v>
      </c>
      <c r="E3" s="354" t="s">
        <v>1</v>
      </c>
      <c r="F3" s="354"/>
      <c r="G3" s="354"/>
      <c r="H3" s="354"/>
      <c r="I3" s="82"/>
      <c r="J3" s="313" t="s">
        <v>31</v>
      </c>
      <c r="K3" s="82"/>
      <c r="L3" s="354" t="s">
        <v>1</v>
      </c>
      <c r="M3" s="354"/>
      <c r="N3" s="354"/>
      <c r="O3" s="354"/>
      <c r="P3" s="82"/>
      <c r="Q3" s="313" t="s">
        <v>31</v>
      </c>
      <c r="R3" s="110"/>
      <c r="S3" s="354" t="s">
        <v>1</v>
      </c>
      <c r="T3" s="354"/>
      <c r="U3" s="354"/>
      <c r="V3" s="354"/>
      <c r="X3" s="313" t="s">
        <v>31</v>
      </c>
    </row>
    <row r="4" spans="1:24" s="24" customFormat="1" ht="30" customHeight="1" x14ac:dyDescent="0.25">
      <c r="A4" s="83" t="s">
        <v>0</v>
      </c>
      <c r="B4" s="84" t="s">
        <v>155</v>
      </c>
      <c r="C4" s="84" t="s">
        <v>159</v>
      </c>
      <c r="E4" s="84" t="s">
        <v>156</v>
      </c>
      <c r="F4" s="84" t="s">
        <v>157</v>
      </c>
      <c r="G4" s="84" t="s">
        <v>158</v>
      </c>
      <c r="H4" s="84" t="s">
        <v>100</v>
      </c>
      <c r="I4" s="82"/>
      <c r="J4" s="84" t="s">
        <v>100</v>
      </c>
      <c r="K4" s="82"/>
      <c r="L4" s="84" t="s">
        <v>148</v>
      </c>
      <c r="M4" s="84" t="s">
        <v>149</v>
      </c>
      <c r="N4" s="84" t="s">
        <v>109</v>
      </c>
      <c r="O4" s="84" t="s">
        <v>314</v>
      </c>
      <c r="P4" s="82"/>
      <c r="Q4" s="84" t="s">
        <v>314</v>
      </c>
      <c r="R4" s="86"/>
      <c r="S4" s="84" t="s">
        <v>327</v>
      </c>
      <c r="T4" s="84" t="s">
        <v>330</v>
      </c>
      <c r="U4" s="84" t="s">
        <v>338</v>
      </c>
      <c r="V4" s="84" t="s">
        <v>346</v>
      </c>
      <c r="X4" s="84" t="s">
        <v>346</v>
      </c>
    </row>
    <row r="5" spans="1:24" s="47" customFormat="1" ht="16.5" x14ac:dyDescent="0.25">
      <c r="A5" s="49"/>
      <c r="B5" s="49"/>
    </row>
    <row r="6" spans="1:24" s="47" customFormat="1" ht="16.5" x14ac:dyDescent="0.25">
      <c r="A6" s="49" t="s">
        <v>364</v>
      </c>
      <c r="B6" s="52"/>
      <c r="C6" s="52"/>
      <c r="D6" s="52"/>
      <c r="E6" s="52"/>
      <c r="F6" s="52"/>
      <c r="G6" s="52"/>
      <c r="H6" s="52"/>
      <c r="J6" s="52"/>
      <c r="L6" s="52"/>
      <c r="M6" s="52"/>
      <c r="N6" s="52"/>
      <c r="O6" s="52"/>
      <c r="P6" s="82"/>
      <c r="Q6" s="52"/>
      <c r="S6" s="52"/>
      <c r="T6" s="52"/>
      <c r="U6" s="52"/>
      <c r="V6" s="52"/>
      <c r="X6" s="52"/>
    </row>
    <row r="7" spans="1:24" s="47" customFormat="1" ht="16.5" x14ac:dyDescent="0.25">
      <c r="A7" s="53" t="s">
        <v>334</v>
      </c>
      <c r="B7" s="56">
        <f>'Cons Other Expense, Tax &amp; NI'!B25</f>
        <v>-29.4</v>
      </c>
      <c r="C7" s="56">
        <f>'Cons Other Expense, Tax &amp; NI'!C25</f>
        <v>-6.6</v>
      </c>
      <c r="D7" s="56"/>
      <c r="E7" s="56">
        <f>'Cons Other Expense, Tax &amp; NI'!E25</f>
        <v>-2.2000000000000002</v>
      </c>
      <c r="F7" s="56">
        <f>'Cons Other Expense, Tax &amp; NI'!F25</f>
        <v>22</v>
      </c>
      <c r="G7" s="56">
        <f>'Cons Other Expense, Tax &amp; NI'!G25</f>
        <v>18.899999999999999</v>
      </c>
      <c r="H7" s="56">
        <f>'Cons Other Expense, Tax &amp; NI'!H25</f>
        <v>27.3</v>
      </c>
      <c r="I7" s="111"/>
      <c r="J7" s="56">
        <f>'Cons Other Expense, Tax &amp; NI'!J25</f>
        <v>66</v>
      </c>
      <c r="K7" s="111"/>
      <c r="L7" s="56">
        <f>'Cons Other Expense, Tax &amp; NI'!L25</f>
        <v>1.6</v>
      </c>
      <c r="M7" s="56">
        <f>'Cons Other Expense, Tax &amp; NI'!M25</f>
        <v>10.6</v>
      </c>
      <c r="N7" s="56">
        <f>'Cons Other Expense, Tax &amp; NI'!N25</f>
        <v>11.680999999999999</v>
      </c>
      <c r="O7" s="56">
        <f>'Cons Other Expense, Tax &amp; NI'!O25</f>
        <v>4.8689999999999998</v>
      </c>
      <c r="P7" s="82"/>
      <c r="Q7" s="56">
        <f>'Cons Other Expense, Tax &amp; NI'!Q25</f>
        <v>28.684000000000001</v>
      </c>
      <c r="S7" s="56">
        <f>'Cons Other Expense, Tax &amp; NI'!S25</f>
        <v>-6.0140000000000002</v>
      </c>
      <c r="T7" s="56">
        <f>'Cons Other Expense, Tax &amp; NI'!T25</f>
        <v>6.01</v>
      </c>
      <c r="U7" s="56">
        <f>'Cons Other Expense, Tax &amp; NI'!U25</f>
        <v>7.5170000000000003</v>
      </c>
      <c r="V7" s="56">
        <f>'Cons Other Expense, Tax &amp; NI'!V25</f>
        <v>-22.436</v>
      </c>
      <c r="X7" s="56">
        <f>'Cons Other Expense, Tax &amp; NI'!X25</f>
        <v>-14.923</v>
      </c>
    </row>
    <row r="8" spans="1:24" s="47" customFormat="1" ht="16.5" x14ac:dyDescent="0.25">
      <c r="A8" s="53" t="s">
        <v>362</v>
      </c>
      <c r="B8" s="182">
        <v>0</v>
      </c>
      <c r="C8" s="182">
        <v>0</v>
      </c>
      <c r="D8" s="158"/>
      <c r="E8" s="182">
        <v>0</v>
      </c>
      <c r="F8" s="182">
        <v>0</v>
      </c>
      <c r="G8" s="182">
        <v>0</v>
      </c>
      <c r="H8" s="182">
        <v>0</v>
      </c>
      <c r="I8" s="148"/>
      <c r="J8" s="182">
        <v>0</v>
      </c>
      <c r="K8" s="148"/>
      <c r="L8" s="182">
        <v>0</v>
      </c>
      <c r="M8" s="182">
        <v>0</v>
      </c>
      <c r="N8" s="182">
        <v>0</v>
      </c>
      <c r="O8" s="182">
        <v>0</v>
      </c>
      <c r="P8" s="82"/>
      <c r="Q8" s="182">
        <v>0</v>
      </c>
      <c r="S8" s="182">
        <v>0</v>
      </c>
      <c r="T8" s="182">
        <v>13.61</v>
      </c>
      <c r="U8" s="182">
        <v>9.2240000000000002</v>
      </c>
      <c r="V8" s="182">
        <v>33.311999999999998</v>
      </c>
      <c r="X8" s="182">
        <f>SUM(S8:V8)</f>
        <v>56.146000000000001</v>
      </c>
    </row>
    <row r="9" spans="1:24" s="47" customFormat="1" ht="16.5" x14ac:dyDescent="0.25">
      <c r="A9" s="65" t="s">
        <v>360</v>
      </c>
      <c r="B9" s="68">
        <f>SUM(B7:B8)</f>
        <v>-29.4</v>
      </c>
      <c r="C9" s="68">
        <f>SUM(C7:C8)</f>
        <v>-6.6</v>
      </c>
      <c r="D9" s="68"/>
      <c r="E9" s="68">
        <f>SUM(E7:E8)</f>
        <v>-2.2000000000000002</v>
      </c>
      <c r="F9" s="68">
        <f>SUM(F7:F8)</f>
        <v>22</v>
      </c>
      <c r="G9" s="68">
        <f>SUM(G7:G8)</f>
        <v>18.899999999999999</v>
      </c>
      <c r="H9" s="68">
        <f>SUM(H7:H8)</f>
        <v>27.3</v>
      </c>
      <c r="I9" s="106"/>
      <c r="J9" s="68">
        <f>SUM(J7:J8)</f>
        <v>66</v>
      </c>
      <c r="K9" s="106"/>
      <c r="L9" s="68">
        <f>SUM(L7:L8)</f>
        <v>1.6</v>
      </c>
      <c r="M9" s="68">
        <f>SUM(M7:M8)</f>
        <v>10.6</v>
      </c>
      <c r="N9" s="68">
        <f>SUM(N7:N8)</f>
        <v>11.680999999999999</v>
      </c>
      <c r="O9" s="68">
        <f>SUM(O7:O8)</f>
        <v>4.8689999999999998</v>
      </c>
      <c r="P9" s="82"/>
      <c r="Q9" s="68">
        <f>SUM(Q7:Q8)</f>
        <v>28.684000000000001</v>
      </c>
      <c r="S9" s="68">
        <f>SUM(S7:S8)</f>
        <v>-6.0140000000000002</v>
      </c>
      <c r="T9" s="68">
        <f>SUM(T7:T8)</f>
        <v>19.619999999999997</v>
      </c>
      <c r="U9" s="68">
        <f>SUM(U7:U8)</f>
        <v>16.741</v>
      </c>
      <c r="V9" s="68">
        <f>SUM(V7:V8)</f>
        <v>10.875999999999998</v>
      </c>
      <c r="X9" s="68">
        <f>SUM(X7:X8)</f>
        <v>41.222999999999999</v>
      </c>
    </row>
    <row r="10" spans="1:24" s="47" customFormat="1" ht="16.5" x14ac:dyDescent="0.25">
      <c r="A10" s="65"/>
      <c r="B10" s="68"/>
      <c r="C10" s="68"/>
      <c r="D10" s="68"/>
      <c r="E10" s="68"/>
      <c r="F10" s="68"/>
      <c r="G10" s="68"/>
      <c r="H10" s="68"/>
      <c r="I10" s="106"/>
      <c r="J10" s="68"/>
      <c r="K10" s="106"/>
      <c r="L10" s="68"/>
      <c r="M10" s="68"/>
      <c r="N10" s="52"/>
      <c r="O10" s="52"/>
      <c r="P10" s="82"/>
      <c r="Q10" s="162"/>
      <c r="S10" s="52"/>
      <c r="T10" s="52"/>
      <c r="U10" s="52"/>
      <c r="V10" s="52"/>
      <c r="X10" s="162"/>
    </row>
    <row r="11" spans="1:24" x14ac:dyDescent="0.2">
      <c r="A11" s="9"/>
      <c r="B11" s="6"/>
      <c r="C11" s="6"/>
      <c r="D11" s="7"/>
      <c r="E11" s="6"/>
      <c r="F11" s="6"/>
      <c r="G11" s="6"/>
      <c r="H11" s="6"/>
      <c r="I11" s="10"/>
      <c r="J11" s="6"/>
      <c r="K11" s="10"/>
      <c r="L11" s="6"/>
      <c r="M11" s="6"/>
      <c r="Q11" s="3"/>
      <c r="X11" s="3"/>
    </row>
    <row r="12" spans="1:24" ht="56.25" customHeight="1" x14ac:dyDescent="0.2">
      <c r="A12" s="9"/>
      <c r="B12" s="6"/>
      <c r="C12" s="6"/>
      <c r="D12" s="7"/>
      <c r="E12" s="6"/>
      <c r="F12" s="6"/>
      <c r="G12" s="6"/>
      <c r="H12" s="6"/>
      <c r="I12" s="10"/>
      <c r="J12" s="6"/>
      <c r="K12" s="10"/>
      <c r="L12" s="6"/>
      <c r="M12" s="6"/>
      <c r="Q12" s="3"/>
      <c r="X12" s="3"/>
    </row>
    <row r="13" spans="1:24" x14ac:dyDescent="0.2">
      <c r="A13" s="9"/>
      <c r="B13" s="6"/>
      <c r="C13" s="6"/>
      <c r="D13" s="7"/>
      <c r="E13" s="6"/>
      <c r="F13" s="6"/>
      <c r="G13" s="6"/>
      <c r="H13" s="6"/>
      <c r="I13" s="10"/>
      <c r="J13" s="6"/>
      <c r="K13" s="10"/>
      <c r="L13" s="6"/>
      <c r="M13" s="6"/>
      <c r="Q13" s="3"/>
      <c r="X13" s="3"/>
    </row>
    <row r="14" spans="1:24" x14ac:dyDescent="0.2">
      <c r="A14" s="9"/>
      <c r="B14" s="6"/>
      <c r="C14" s="6"/>
      <c r="D14" s="7"/>
      <c r="E14" s="6"/>
      <c r="F14" s="6"/>
      <c r="G14" s="6"/>
      <c r="H14" s="6"/>
      <c r="I14" s="10"/>
      <c r="J14" s="6"/>
      <c r="K14" s="10"/>
      <c r="L14" s="6"/>
      <c r="M14" s="6"/>
      <c r="Q14" s="3"/>
      <c r="X14" s="3"/>
    </row>
    <row r="15" spans="1:24" x14ac:dyDescent="0.2">
      <c r="A15" s="9"/>
      <c r="B15" s="6"/>
      <c r="C15" s="6"/>
      <c r="D15" s="7"/>
      <c r="E15" s="6"/>
      <c r="F15" s="6"/>
      <c r="G15" s="6"/>
      <c r="H15" s="6"/>
      <c r="I15" s="10"/>
      <c r="J15" s="6"/>
      <c r="K15" s="10"/>
      <c r="L15" s="6"/>
      <c r="M15" s="6"/>
      <c r="Q15" s="3"/>
      <c r="X15" s="3"/>
    </row>
    <row r="16" spans="1:24" x14ac:dyDescent="0.2">
      <c r="A16" s="9"/>
      <c r="B16" s="6"/>
      <c r="C16" s="6"/>
      <c r="D16" s="7"/>
      <c r="E16" s="6"/>
      <c r="F16" s="6"/>
      <c r="G16" s="6"/>
      <c r="H16" s="6"/>
      <c r="I16" s="10"/>
      <c r="J16" s="6"/>
      <c r="K16" s="10"/>
      <c r="L16" s="6"/>
      <c r="M16" s="6"/>
      <c r="Q16" s="3"/>
      <c r="X16" s="3"/>
    </row>
    <row r="17" spans="1:24" x14ac:dyDescent="0.2">
      <c r="A17" s="9"/>
      <c r="B17" s="6"/>
      <c r="C17" s="6"/>
      <c r="D17" s="7"/>
      <c r="E17" s="6"/>
      <c r="F17" s="6"/>
      <c r="G17" s="6"/>
      <c r="H17" s="6"/>
      <c r="I17" s="10"/>
      <c r="J17" s="6"/>
      <c r="K17" s="10"/>
      <c r="L17" s="6"/>
      <c r="M17" s="6"/>
      <c r="Q17" s="3"/>
      <c r="X17" s="3"/>
    </row>
    <row r="18" spans="1:24" x14ac:dyDescent="0.2">
      <c r="A18" s="9"/>
      <c r="B18" s="6"/>
      <c r="C18" s="6"/>
      <c r="D18" s="7"/>
      <c r="E18" s="6"/>
      <c r="F18" s="6"/>
      <c r="G18" s="6"/>
      <c r="H18" s="6"/>
      <c r="I18" s="10"/>
      <c r="J18" s="6"/>
      <c r="K18" s="10"/>
      <c r="L18" s="6"/>
      <c r="M18" s="6"/>
      <c r="Q18" s="3"/>
      <c r="X18" s="3"/>
    </row>
    <row r="19" spans="1:24" x14ac:dyDescent="0.2">
      <c r="A19" s="9"/>
      <c r="B19" s="6"/>
      <c r="C19" s="6"/>
      <c r="D19" s="7"/>
      <c r="E19" s="6"/>
      <c r="F19" s="6"/>
      <c r="G19" s="6"/>
      <c r="H19" s="6"/>
      <c r="I19" s="10"/>
      <c r="J19" s="6"/>
      <c r="K19" s="10"/>
      <c r="L19" s="6"/>
      <c r="M19" s="6"/>
      <c r="Q19" s="3"/>
      <c r="X19" s="3"/>
    </row>
    <row r="20" spans="1:24" x14ac:dyDescent="0.2">
      <c r="A20" s="9"/>
      <c r="B20" s="6"/>
      <c r="C20" s="6"/>
      <c r="D20" s="7"/>
      <c r="E20" s="6"/>
      <c r="F20" s="6"/>
      <c r="G20" s="6"/>
      <c r="H20" s="6"/>
      <c r="I20" s="10"/>
      <c r="J20" s="6"/>
      <c r="K20" s="10"/>
      <c r="L20" s="6"/>
      <c r="M20" s="6"/>
      <c r="Q20" s="3"/>
      <c r="X20" s="3"/>
    </row>
    <row r="21" spans="1:24" x14ac:dyDescent="0.2">
      <c r="A21" s="9"/>
      <c r="B21" s="6"/>
      <c r="C21" s="6"/>
      <c r="D21" s="7"/>
      <c r="E21" s="6"/>
      <c r="F21" s="6"/>
      <c r="G21" s="6"/>
      <c r="H21" s="6"/>
      <c r="I21" s="10"/>
      <c r="J21" s="6"/>
      <c r="K21" s="10"/>
      <c r="L21" s="6"/>
      <c r="M21" s="6"/>
      <c r="Q21" s="3"/>
      <c r="X21" s="3"/>
    </row>
    <row r="22" spans="1:24" x14ac:dyDescent="0.2">
      <c r="A22" s="9"/>
      <c r="B22" s="6"/>
      <c r="C22" s="6"/>
      <c r="D22" s="7"/>
      <c r="E22" s="6"/>
      <c r="F22" s="6"/>
      <c r="G22" s="6"/>
      <c r="H22" s="6"/>
      <c r="I22" s="10"/>
      <c r="J22" s="6"/>
      <c r="K22" s="10"/>
      <c r="L22" s="6"/>
      <c r="M22" s="6"/>
      <c r="Q22" s="3"/>
      <c r="X22" s="3"/>
    </row>
    <row r="23" spans="1:24" x14ac:dyDescent="0.2">
      <c r="A23" s="9"/>
      <c r="B23" s="6"/>
      <c r="C23" s="6"/>
      <c r="D23" s="7"/>
      <c r="E23" s="6"/>
      <c r="F23" s="6"/>
      <c r="G23" s="6"/>
      <c r="H23" s="6"/>
      <c r="I23" s="10"/>
      <c r="J23" s="6"/>
      <c r="K23" s="10"/>
      <c r="L23" s="6"/>
      <c r="M23" s="6"/>
      <c r="Q23" s="3"/>
      <c r="X23" s="3"/>
    </row>
    <row r="24" spans="1:24" x14ac:dyDescent="0.2">
      <c r="A24" s="9"/>
      <c r="B24" s="6"/>
      <c r="C24" s="6"/>
      <c r="D24" s="7"/>
      <c r="E24" s="6"/>
      <c r="F24" s="6"/>
      <c r="G24" s="6"/>
      <c r="H24" s="6"/>
      <c r="I24" s="10"/>
      <c r="J24" s="6"/>
      <c r="K24" s="10"/>
      <c r="L24" s="6"/>
      <c r="M24" s="6"/>
      <c r="Q24" s="3"/>
      <c r="X24" s="3"/>
    </row>
    <row r="25" spans="1:24" x14ac:dyDescent="0.2">
      <c r="A25" s="9"/>
      <c r="B25" s="6"/>
      <c r="C25" s="6"/>
      <c r="D25" s="7"/>
      <c r="E25" s="6"/>
      <c r="F25" s="6"/>
      <c r="G25" s="6"/>
      <c r="H25" s="6"/>
      <c r="I25" s="10"/>
      <c r="J25" s="6"/>
      <c r="K25" s="10"/>
      <c r="L25" s="6"/>
      <c r="M25" s="6"/>
      <c r="Q25" s="3"/>
      <c r="X25" s="3"/>
    </row>
    <row r="26" spans="1:24" x14ac:dyDescent="0.2">
      <c r="A26" s="2"/>
      <c r="B26" s="6"/>
      <c r="C26" s="6"/>
      <c r="D26" s="7"/>
      <c r="E26" s="6"/>
      <c r="F26" s="6"/>
      <c r="G26" s="6"/>
      <c r="H26" s="6"/>
      <c r="I26" s="10"/>
      <c r="J26" s="6"/>
      <c r="K26" s="10"/>
      <c r="L26" s="6"/>
      <c r="M26" s="6"/>
      <c r="Q26" s="3"/>
      <c r="X26" s="3"/>
    </row>
    <row r="27" spans="1:24" x14ac:dyDescent="0.2">
      <c r="A27" s="2"/>
      <c r="B27" s="6"/>
      <c r="C27" s="6"/>
      <c r="D27" s="7"/>
      <c r="E27" s="6"/>
      <c r="F27" s="6"/>
      <c r="G27" s="6"/>
      <c r="H27" s="6"/>
      <c r="I27" s="10"/>
      <c r="J27" s="6"/>
      <c r="K27" s="10"/>
      <c r="L27" s="6"/>
      <c r="M27" s="6"/>
      <c r="Q27" s="3"/>
      <c r="X27" s="3"/>
    </row>
    <row r="28" spans="1:24" x14ac:dyDescent="0.2">
      <c r="A28" s="2"/>
      <c r="B28" s="6"/>
      <c r="C28" s="6"/>
      <c r="D28" s="7"/>
      <c r="E28" s="6"/>
      <c r="F28" s="6"/>
      <c r="G28" s="6"/>
      <c r="H28" s="6"/>
      <c r="I28" s="10"/>
      <c r="J28" s="6"/>
      <c r="K28" s="10"/>
      <c r="L28" s="6"/>
      <c r="M28" s="6"/>
      <c r="Q28" s="3"/>
      <c r="X28" s="3"/>
    </row>
    <row r="29" spans="1:24" x14ac:dyDescent="0.2">
      <c r="A29" s="2"/>
      <c r="B29" s="6"/>
      <c r="C29" s="6"/>
      <c r="D29" s="7"/>
      <c r="E29" s="6"/>
      <c r="F29" s="6"/>
      <c r="G29" s="6"/>
      <c r="H29" s="6"/>
      <c r="I29" s="10"/>
      <c r="J29" s="6"/>
      <c r="K29" s="10"/>
      <c r="L29" s="6"/>
      <c r="M29" s="6"/>
      <c r="Q29" s="3"/>
      <c r="X29" s="3"/>
    </row>
    <row r="30" spans="1:24" x14ac:dyDescent="0.2">
      <c r="A30" s="2"/>
      <c r="B30" s="6"/>
      <c r="C30" s="6"/>
      <c r="D30" s="7"/>
      <c r="E30" s="6"/>
      <c r="F30" s="6"/>
      <c r="G30" s="6"/>
      <c r="H30" s="6"/>
      <c r="I30" s="10"/>
      <c r="J30" s="6"/>
      <c r="K30" s="10"/>
      <c r="L30" s="6"/>
      <c r="M30" s="6"/>
      <c r="Q30" s="3"/>
      <c r="X30" s="3"/>
    </row>
    <row r="31" spans="1:24" x14ac:dyDescent="0.2">
      <c r="A31" s="2"/>
      <c r="B31" s="6"/>
      <c r="C31" s="6"/>
      <c r="D31" s="7"/>
      <c r="E31" s="6"/>
      <c r="F31" s="6"/>
      <c r="G31" s="6"/>
      <c r="H31" s="6"/>
      <c r="I31" s="10"/>
      <c r="J31" s="6"/>
      <c r="K31" s="10"/>
      <c r="L31" s="6"/>
      <c r="M31" s="6"/>
      <c r="Q31" s="3"/>
      <c r="X31" s="3"/>
    </row>
    <row r="32" spans="1:24" x14ac:dyDescent="0.2">
      <c r="A32" s="2"/>
      <c r="B32" s="6"/>
      <c r="C32" s="6"/>
      <c r="D32" s="7"/>
      <c r="E32" s="6"/>
      <c r="F32" s="6"/>
      <c r="G32" s="6"/>
      <c r="H32" s="6"/>
      <c r="I32" s="10"/>
      <c r="J32" s="6"/>
      <c r="K32" s="10"/>
      <c r="L32" s="6"/>
      <c r="M32" s="6"/>
      <c r="Q32" s="3"/>
      <c r="X32" s="3"/>
    </row>
    <row r="33" spans="1:24" x14ac:dyDescent="0.2">
      <c r="A33" s="2"/>
      <c r="B33" s="6"/>
      <c r="C33" s="6"/>
      <c r="D33" s="7"/>
      <c r="E33" s="6"/>
      <c r="F33" s="6"/>
      <c r="G33" s="6"/>
      <c r="H33" s="6"/>
      <c r="I33" s="10"/>
      <c r="J33" s="6"/>
      <c r="K33" s="10"/>
      <c r="L33" s="6"/>
      <c r="M33" s="6"/>
      <c r="Q33" s="3"/>
      <c r="X33" s="3"/>
    </row>
    <row r="34" spans="1:24" x14ac:dyDescent="0.2">
      <c r="A34" s="2"/>
      <c r="B34" s="6"/>
      <c r="C34" s="6"/>
      <c r="D34" s="7"/>
      <c r="E34" s="6"/>
      <c r="F34" s="6"/>
      <c r="G34" s="6"/>
      <c r="H34" s="6"/>
      <c r="I34" s="10"/>
      <c r="J34" s="6"/>
      <c r="K34" s="10"/>
      <c r="L34" s="6"/>
      <c r="M34" s="6"/>
      <c r="Q34" s="3"/>
      <c r="X34" s="3"/>
    </row>
    <row r="35" spans="1:24" x14ac:dyDescent="0.2">
      <c r="A35" s="2"/>
      <c r="B35" s="6"/>
      <c r="C35" s="6"/>
      <c r="D35" s="7"/>
      <c r="E35" s="6"/>
      <c r="F35" s="6"/>
      <c r="G35" s="6"/>
      <c r="H35" s="6"/>
      <c r="I35" s="10"/>
      <c r="J35" s="6"/>
      <c r="K35" s="10"/>
      <c r="L35" s="6"/>
      <c r="M35" s="6"/>
      <c r="Q35" s="3"/>
      <c r="X35" s="3"/>
    </row>
    <row r="36" spans="1:24" x14ac:dyDescent="0.2">
      <c r="A36" s="2"/>
      <c r="B36" s="6"/>
      <c r="C36" s="6"/>
      <c r="D36" s="7"/>
      <c r="E36" s="6"/>
      <c r="F36" s="6"/>
      <c r="G36" s="6"/>
      <c r="H36" s="6"/>
      <c r="I36" s="10"/>
      <c r="J36" s="6"/>
      <c r="K36" s="10"/>
      <c r="L36" s="6"/>
      <c r="M36" s="6"/>
      <c r="Q36" s="3"/>
      <c r="X36" s="3"/>
    </row>
    <row r="37" spans="1:24" x14ac:dyDescent="0.2">
      <c r="A37" s="2"/>
      <c r="B37" s="6"/>
      <c r="C37" s="6"/>
      <c r="D37" s="7"/>
      <c r="E37" s="6"/>
      <c r="F37" s="6"/>
      <c r="G37" s="6"/>
      <c r="H37" s="6"/>
      <c r="I37" s="10"/>
      <c r="J37" s="6"/>
      <c r="K37" s="10"/>
      <c r="L37" s="6"/>
      <c r="M37" s="6"/>
      <c r="Q37" s="3"/>
      <c r="X37" s="3"/>
    </row>
    <row r="38" spans="1:24" x14ac:dyDescent="0.2">
      <c r="A38" s="2"/>
      <c r="B38" s="6"/>
      <c r="C38" s="6"/>
      <c r="D38" s="7"/>
      <c r="E38" s="6"/>
      <c r="F38" s="6"/>
      <c r="G38" s="6"/>
      <c r="H38" s="6"/>
      <c r="I38" s="10"/>
      <c r="J38" s="6"/>
      <c r="K38" s="10"/>
      <c r="L38" s="6"/>
      <c r="M38" s="6"/>
      <c r="Q38" s="3"/>
      <c r="X38" s="3"/>
    </row>
    <row r="39" spans="1:24" x14ac:dyDescent="0.2">
      <c r="A39" s="2"/>
      <c r="B39" s="6"/>
      <c r="C39" s="6"/>
      <c r="D39" s="7"/>
      <c r="E39" s="6"/>
      <c r="F39" s="6"/>
      <c r="G39" s="6"/>
      <c r="H39" s="6"/>
      <c r="I39" s="10"/>
      <c r="J39" s="6"/>
      <c r="K39" s="10"/>
      <c r="L39" s="6"/>
      <c r="M39" s="6"/>
      <c r="Q39" s="3"/>
      <c r="X39" s="3"/>
    </row>
    <row r="40" spans="1:24" x14ac:dyDescent="0.2">
      <c r="A40" s="2"/>
      <c r="B40" s="6"/>
      <c r="C40" s="6"/>
      <c r="D40" s="7"/>
      <c r="E40" s="6"/>
      <c r="F40" s="6"/>
      <c r="G40" s="6"/>
      <c r="H40" s="6"/>
      <c r="I40" s="10"/>
      <c r="J40" s="6"/>
      <c r="K40" s="10"/>
      <c r="L40" s="6"/>
      <c r="M40" s="6"/>
      <c r="Q40" s="3"/>
      <c r="X40" s="3"/>
    </row>
    <row r="41" spans="1:24" x14ac:dyDescent="0.2">
      <c r="A41" s="2"/>
      <c r="B41" s="6"/>
      <c r="C41" s="6"/>
      <c r="D41" s="7"/>
      <c r="E41" s="6"/>
      <c r="F41" s="6"/>
      <c r="G41" s="6"/>
      <c r="H41" s="6"/>
      <c r="I41" s="10"/>
      <c r="J41" s="6"/>
      <c r="K41" s="10"/>
      <c r="L41" s="6"/>
      <c r="M41" s="6"/>
      <c r="Q41" s="3"/>
      <c r="X41" s="3"/>
    </row>
    <row r="42" spans="1:24" x14ac:dyDescent="0.2">
      <c r="A42" s="2"/>
      <c r="B42" s="6"/>
      <c r="C42" s="6"/>
      <c r="D42" s="7"/>
      <c r="E42" s="6"/>
      <c r="F42" s="6"/>
      <c r="G42" s="6"/>
      <c r="H42" s="6"/>
      <c r="I42" s="10"/>
      <c r="J42" s="6"/>
      <c r="K42" s="10"/>
      <c r="L42" s="6"/>
      <c r="M42" s="6"/>
      <c r="Q42" s="3"/>
      <c r="X42" s="3"/>
    </row>
    <row r="43" spans="1:24" x14ac:dyDescent="0.2">
      <c r="A43" s="2"/>
      <c r="B43" s="6"/>
      <c r="C43" s="6"/>
      <c r="D43" s="7"/>
      <c r="E43" s="6"/>
      <c r="F43" s="6"/>
      <c r="G43" s="6"/>
      <c r="H43" s="6"/>
      <c r="I43" s="10"/>
      <c r="J43" s="6"/>
      <c r="K43" s="10"/>
      <c r="L43" s="6"/>
      <c r="M43" s="6"/>
      <c r="Q43" s="3"/>
      <c r="X43" s="3"/>
    </row>
    <row r="44" spans="1:24" x14ac:dyDescent="0.2">
      <c r="A44" s="2"/>
      <c r="B44" s="6"/>
      <c r="C44" s="6"/>
      <c r="D44" s="7"/>
      <c r="E44" s="6"/>
      <c r="F44" s="6"/>
      <c r="G44" s="6"/>
      <c r="H44" s="6"/>
      <c r="I44" s="10"/>
      <c r="J44" s="6"/>
      <c r="K44" s="10"/>
      <c r="L44" s="6"/>
      <c r="M44" s="6"/>
      <c r="Q44" s="3"/>
      <c r="X44" s="3"/>
    </row>
    <row r="45" spans="1:24" x14ac:dyDescent="0.2">
      <c r="A45" s="3"/>
      <c r="B45" s="3"/>
      <c r="C45" s="3"/>
      <c r="E45" s="3"/>
      <c r="F45" s="3"/>
      <c r="G45" s="3"/>
      <c r="H45" s="3"/>
      <c r="J45" s="3"/>
      <c r="L45" s="3"/>
      <c r="M45" s="3"/>
      <c r="Q45" s="3"/>
      <c r="X45" s="3"/>
    </row>
    <row r="46" spans="1:24" x14ac:dyDescent="0.2">
      <c r="A46" s="3"/>
      <c r="B46" s="3"/>
      <c r="C46" s="3"/>
      <c r="E46" s="3"/>
      <c r="F46" s="3"/>
      <c r="G46" s="3"/>
      <c r="H46" s="3"/>
      <c r="J46" s="3"/>
      <c r="L46" s="3"/>
      <c r="M46" s="3"/>
      <c r="Q46" s="3"/>
      <c r="X46" s="3"/>
    </row>
    <row r="47" spans="1:24" x14ac:dyDescent="0.2">
      <c r="A47" s="3"/>
      <c r="B47" s="3"/>
      <c r="C47" s="3"/>
      <c r="E47" s="3"/>
      <c r="F47" s="3"/>
      <c r="G47" s="3"/>
      <c r="H47" s="3"/>
      <c r="J47" s="3"/>
      <c r="L47" s="3"/>
      <c r="M47" s="3"/>
      <c r="Q47" s="3"/>
      <c r="X47" s="3"/>
    </row>
    <row r="48" spans="1:24" x14ac:dyDescent="0.2">
      <c r="A48" s="3"/>
      <c r="B48" s="3"/>
      <c r="C48" s="3"/>
      <c r="E48" s="3"/>
      <c r="F48" s="3"/>
      <c r="G48" s="3"/>
      <c r="H48" s="3"/>
      <c r="J48" s="3"/>
      <c r="L48" s="3"/>
      <c r="M48" s="3"/>
      <c r="Q48" s="3"/>
      <c r="X48" s="3"/>
    </row>
    <row r="49" spans="1:24" hidden="1" x14ac:dyDescent="0.2">
      <c r="A49" s="3"/>
      <c r="B49" s="3"/>
      <c r="C49" s="3"/>
      <c r="E49" s="3"/>
      <c r="F49" s="3"/>
      <c r="G49" s="3"/>
      <c r="H49" s="3"/>
      <c r="J49" s="3"/>
      <c r="L49" s="3"/>
      <c r="M49" s="3"/>
      <c r="Q49" s="3"/>
      <c r="X49" s="3"/>
    </row>
    <row r="50" spans="1:24" s="251" customFormat="1" ht="15" hidden="1" customHeight="1" x14ac:dyDescent="0.25">
      <c r="A50" s="252" t="s">
        <v>309</v>
      </c>
      <c r="B50" s="254"/>
      <c r="C50" s="254"/>
      <c r="D50" s="254"/>
      <c r="E50" s="254"/>
      <c r="F50" s="254"/>
      <c r="G50" s="254"/>
      <c r="H50" s="254"/>
      <c r="I50" s="255"/>
      <c r="J50" s="254">
        <v>7542</v>
      </c>
      <c r="K50" s="255"/>
      <c r="L50" s="254">
        <v>1409</v>
      </c>
      <c r="M50" s="254">
        <v>-4507</v>
      </c>
      <c r="N50" s="254">
        <v>9218</v>
      </c>
      <c r="O50" s="254"/>
      <c r="P50" s="255"/>
      <c r="Q50" s="254">
        <v>6120</v>
      </c>
      <c r="S50" s="254"/>
      <c r="T50" s="254"/>
      <c r="U50" s="254"/>
      <c r="V50" s="254"/>
      <c r="X50" s="254">
        <v>6120</v>
      </c>
    </row>
    <row r="51" spans="1:24" s="251" customFormat="1" ht="15" hidden="1" x14ac:dyDescent="0.25">
      <c r="A51" s="253" t="s">
        <v>310</v>
      </c>
      <c r="B51" s="254"/>
      <c r="C51" s="254"/>
      <c r="D51" s="254"/>
      <c r="E51" s="254"/>
      <c r="F51" s="254"/>
      <c r="G51" s="254"/>
      <c r="H51" s="254"/>
      <c r="I51" s="255"/>
      <c r="J51" s="254">
        <v>77762</v>
      </c>
      <c r="K51" s="255"/>
      <c r="L51" s="254">
        <v>5170</v>
      </c>
      <c r="M51" s="254">
        <v>7764</v>
      </c>
      <c r="N51" s="254">
        <v>22201</v>
      </c>
      <c r="O51" s="254"/>
      <c r="P51" s="255"/>
      <c r="Q51" s="254">
        <v>35135</v>
      </c>
      <c r="S51" s="254"/>
      <c r="T51" s="254"/>
      <c r="U51" s="254"/>
      <c r="V51" s="254"/>
      <c r="X51" s="254">
        <v>35135</v>
      </c>
    </row>
    <row r="52" spans="1:24" s="260" customFormat="1" ht="15" hidden="1" x14ac:dyDescent="0.25">
      <c r="A52" s="256" t="s">
        <v>311</v>
      </c>
      <c r="B52" s="257"/>
      <c r="C52" s="257"/>
      <c r="D52" s="257"/>
      <c r="E52" s="257"/>
      <c r="F52" s="257"/>
      <c r="G52" s="257"/>
      <c r="H52" s="257"/>
      <c r="I52" s="258"/>
      <c r="J52" s="259">
        <f t="shared" ref="J52:M52" si="0">+J50/J51</f>
        <v>9.6988246187083668E-2</v>
      </c>
      <c r="K52" s="259" t="e">
        <f t="shared" si="0"/>
        <v>#DIV/0!</v>
      </c>
      <c r="L52" s="259">
        <f t="shared" si="0"/>
        <v>0.27253384912959383</v>
      </c>
      <c r="M52" s="259">
        <f t="shared" si="0"/>
        <v>-0.58049974240082436</v>
      </c>
      <c r="N52" s="259">
        <f>+N50/N51</f>
        <v>0.41520652222872845</v>
      </c>
      <c r="O52" s="259"/>
      <c r="P52" s="258"/>
      <c r="Q52" s="259">
        <f>+Q50/Q51</f>
        <v>0.17418528532802049</v>
      </c>
      <c r="S52" s="259"/>
      <c r="T52" s="259"/>
      <c r="U52" s="259"/>
      <c r="V52" s="259"/>
      <c r="X52" s="259">
        <f>+X50/X51</f>
        <v>0.17418528532802049</v>
      </c>
    </row>
    <row r="53" spans="1:24" s="251" customFormat="1" ht="15" hidden="1" x14ac:dyDescent="0.25">
      <c r="A53" s="253" t="s">
        <v>3</v>
      </c>
      <c r="B53" s="254"/>
      <c r="C53" s="254"/>
      <c r="D53" s="254"/>
      <c r="E53" s="254"/>
      <c r="F53" s="254"/>
      <c r="G53" s="254"/>
      <c r="H53" s="254"/>
      <c r="I53" s="255"/>
      <c r="J53" s="254">
        <v>26887</v>
      </c>
      <c r="K53" s="255"/>
      <c r="L53" s="254">
        <v>5410</v>
      </c>
      <c r="M53" s="254">
        <v>4955</v>
      </c>
      <c r="N53" s="254">
        <v>5751</v>
      </c>
      <c r="O53" s="254"/>
      <c r="P53" s="255"/>
      <c r="Q53" s="254">
        <v>16116</v>
      </c>
      <c r="S53" s="254"/>
      <c r="T53" s="254"/>
      <c r="U53" s="254"/>
      <c r="V53" s="254"/>
      <c r="X53" s="254">
        <v>16116</v>
      </c>
    </row>
    <row r="54" spans="1:24" s="251" customFormat="1" ht="15" hidden="1" x14ac:dyDescent="0.25">
      <c r="A54" s="253" t="s">
        <v>312</v>
      </c>
      <c r="B54" s="254"/>
      <c r="C54" s="254"/>
      <c r="D54" s="254"/>
      <c r="E54" s="254"/>
      <c r="F54" s="254"/>
      <c r="G54" s="254"/>
      <c r="H54" s="254"/>
      <c r="I54" s="255"/>
      <c r="J54" s="254">
        <v>243781</v>
      </c>
      <c r="K54" s="255"/>
      <c r="L54" s="254">
        <v>56663</v>
      </c>
      <c r="M54" s="254">
        <v>62151</v>
      </c>
      <c r="N54" s="254">
        <v>70120</v>
      </c>
      <c r="O54" s="254"/>
      <c r="P54" s="255"/>
      <c r="Q54" s="254">
        <v>188933</v>
      </c>
      <c r="S54" s="254"/>
      <c r="T54" s="254"/>
      <c r="U54" s="254"/>
      <c r="V54" s="254"/>
      <c r="X54" s="254">
        <v>188933</v>
      </c>
    </row>
    <row r="55" spans="1:24" s="260" customFormat="1" ht="15" hidden="1" x14ac:dyDescent="0.25">
      <c r="A55" s="261" t="s">
        <v>313</v>
      </c>
      <c r="B55" s="257"/>
      <c r="C55" s="257"/>
      <c r="D55" s="257"/>
      <c r="E55" s="257"/>
      <c r="F55" s="257"/>
      <c r="G55" s="257"/>
      <c r="H55" s="257"/>
      <c r="I55" s="258"/>
      <c r="J55" s="259">
        <f>++J53/J54</f>
        <v>0.11029161419470755</v>
      </c>
      <c r="K55" s="259" t="e">
        <f t="shared" ref="K55:M55" si="1">++K53/K54</f>
        <v>#DIV/0!</v>
      </c>
      <c r="L55" s="259">
        <f t="shared" si="1"/>
        <v>9.5476766143691646E-2</v>
      </c>
      <c r="M55" s="259">
        <f t="shared" si="1"/>
        <v>7.9725185435471677E-2</v>
      </c>
      <c r="N55" s="259">
        <f>++N53/N54</f>
        <v>8.2016543069024533E-2</v>
      </c>
      <c r="O55" s="259"/>
      <c r="P55" s="258"/>
      <c r="Q55" s="259">
        <f>++Q53/Q54</f>
        <v>8.5300079922512206E-2</v>
      </c>
      <c r="S55" s="259"/>
      <c r="T55" s="259"/>
      <c r="U55" s="259"/>
      <c r="V55" s="259"/>
      <c r="X55" s="259">
        <f>++X53/X54</f>
        <v>8.5300079922512206E-2</v>
      </c>
    </row>
    <row r="56" spans="1:24" hidden="1" x14ac:dyDescent="0.2">
      <c r="A56" s="3"/>
      <c r="B56" s="3"/>
      <c r="C56" s="3"/>
      <c r="E56" s="3"/>
      <c r="F56" s="3"/>
      <c r="G56" s="3"/>
      <c r="H56" s="3"/>
      <c r="J56" s="3"/>
      <c r="L56" s="3"/>
      <c r="M56" s="3"/>
      <c r="Q56" s="3"/>
      <c r="X56" s="3"/>
    </row>
    <row r="57" spans="1:24" x14ac:dyDescent="0.2">
      <c r="A57" s="3"/>
      <c r="B57" s="3"/>
      <c r="C57" s="3"/>
      <c r="E57" s="3"/>
      <c r="F57" s="3"/>
      <c r="G57" s="3"/>
      <c r="H57" s="3"/>
      <c r="J57" s="3"/>
      <c r="L57" s="3"/>
      <c r="M57" s="3"/>
      <c r="Q57" s="3"/>
      <c r="X57" s="3"/>
    </row>
    <row r="58" spans="1:24" x14ac:dyDescent="0.2">
      <c r="A58" s="3"/>
      <c r="B58" s="3"/>
      <c r="C58" s="3"/>
      <c r="E58" s="3"/>
      <c r="F58" s="3"/>
      <c r="G58" s="3"/>
      <c r="H58" s="3"/>
      <c r="J58" s="3"/>
      <c r="L58" s="3"/>
      <c r="M58" s="3"/>
      <c r="Q58" s="3"/>
      <c r="X58" s="3"/>
    </row>
    <row r="59" spans="1:24" x14ac:dyDescent="0.2">
      <c r="A59" s="3"/>
      <c r="B59" s="3"/>
      <c r="C59" s="3"/>
      <c r="E59" s="3"/>
      <c r="F59" s="3"/>
      <c r="G59" s="3"/>
      <c r="H59" s="3"/>
      <c r="J59" s="3"/>
      <c r="L59" s="3"/>
      <c r="M59" s="3"/>
      <c r="Q59" s="3"/>
      <c r="X59" s="3"/>
    </row>
    <row r="60" spans="1:24" x14ac:dyDescent="0.2">
      <c r="A60" s="3"/>
      <c r="B60" s="3"/>
      <c r="C60" s="3"/>
      <c r="E60" s="3"/>
      <c r="F60" s="3"/>
      <c r="G60" s="3"/>
      <c r="H60" s="3"/>
      <c r="J60" s="3"/>
      <c r="L60" s="3"/>
      <c r="M60" s="3"/>
      <c r="Q60" s="3"/>
      <c r="X60" s="3"/>
    </row>
    <row r="61" spans="1:24" x14ac:dyDescent="0.2">
      <c r="A61" s="3"/>
      <c r="B61" s="3"/>
      <c r="C61" s="3"/>
      <c r="E61" s="3"/>
      <c r="F61" s="3"/>
      <c r="G61" s="3"/>
      <c r="H61" s="3"/>
      <c r="J61" s="3"/>
      <c r="L61" s="3"/>
      <c r="M61" s="3"/>
      <c r="Q61" s="3"/>
      <c r="X61" s="3"/>
    </row>
    <row r="62" spans="1:24" x14ac:dyDescent="0.2">
      <c r="A62" s="3"/>
      <c r="B62" s="3"/>
      <c r="C62" s="3"/>
      <c r="E62" s="3"/>
      <c r="F62" s="3"/>
      <c r="G62" s="3"/>
      <c r="H62" s="3"/>
      <c r="J62" s="3"/>
      <c r="L62" s="3"/>
      <c r="M62" s="3"/>
      <c r="Q62" s="3"/>
      <c r="X62" s="3"/>
    </row>
    <row r="63" spans="1:24" x14ac:dyDescent="0.2">
      <c r="A63" s="3"/>
      <c r="B63" s="3"/>
      <c r="C63" s="3"/>
      <c r="E63" s="3"/>
      <c r="F63" s="3"/>
      <c r="G63" s="3"/>
      <c r="H63" s="3"/>
      <c r="J63" s="3"/>
      <c r="L63" s="3"/>
      <c r="M63" s="3"/>
      <c r="Q63" s="3"/>
      <c r="X63" s="3"/>
    </row>
    <row r="64" spans="1:24" x14ac:dyDescent="0.2">
      <c r="A64" s="3"/>
      <c r="B64" s="3"/>
      <c r="C64" s="3"/>
      <c r="E64" s="3"/>
      <c r="F64" s="3"/>
      <c r="G64" s="3"/>
      <c r="H64" s="3"/>
      <c r="J64" s="3"/>
      <c r="L64" s="3"/>
      <c r="M64" s="3"/>
      <c r="Q64" s="3"/>
      <c r="X64" s="3"/>
    </row>
    <row r="65" spans="1:24" x14ac:dyDescent="0.2">
      <c r="A65" s="3"/>
      <c r="B65" s="3"/>
      <c r="C65" s="3"/>
      <c r="E65" s="3"/>
      <c r="F65" s="3"/>
      <c r="G65" s="3"/>
      <c r="H65" s="3"/>
      <c r="J65" s="3"/>
      <c r="L65" s="3"/>
      <c r="M65" s="3"/>
      <c r="Q65" s="3"/>
      <c r="X65" s="3"/>
    </row>
    <row r="66" spans="1:24" x14ac:dyDescent="0.2">
      <c r="A66" s="3"/>
      <c r="B66" s="3"/>
      <c r="C66" s="3"/>
      <c r="E66" s="3"/>
      <c r="F66" s="3"/>
      <c r="G66" s="3"/>
      <c r="H66" s="3"/>
      <c r="J66" s="3"/>
      <c r="L66" s="3"/>
      <c r="M66" s="3"/>
      <c r="Q66" s="3"/>
      <c r="X66" s="3"/>
    </row>
    <row r="67" spans="1:24" x14ac:dyDescent="0.2">
      <c r="A67" s="3"/>
      <c r="B67" s="3"/>
      <c r="C67" s="3"/>
      <c r="E67" s="3"/>
      <c r="F67" s="3"/>
      <c r="G67" s="3"/>
      <c r="H67" s="3"/>
      <c r="J67" s="3"/>
      <c r="L67" s="3"/>
      <c r="M67" s="3"/>
      <c r="Q67" s="3"/>
      <c r="X67" s="3"/>
    </row>
    <row r="68" spans="1:24" x14ac:dyDescent="0.2">
      <c r="A68" s="3"/>
      <c r="B68" s="3"/>
      <c r="C68" s="3"/>
      <c r="E68" s="3"/>
      <c r="F68" s="3"/>
      <c r="G68" s="3"/>
      <c r="H68" s="3"/>
      <c r="J68" s="3"/>
      <c r="L68" s="3"/>
      <c r="M68" s="3"/>
      <c r="Q68" s="3"/>
      <c r="X68" s="3"/>
    </row>
    <row r="69" spans="1:24" x14ac:dyDescent="0.2">
      <c r="A69" s="3"/>
      <c r="B69" s="3"/>
      <c r="C69" s="3"/>
      <c r="E69" s="3"/>
      <c r="F69" s="3"/>
      <c r="G69" s="3"/>
      <c r="H69" s="3"/>
      <c r="J69" s="3"/>
      <c r="L69" s="3"/>
      <c r="M69" s="3"/>
      <c r="Q69" s="3"/>
      <c r="X69" s="3"/>
    </row>
    <row r="70" spans="1:24" x14ac:dyDescent="0.2">
      <c r="A70" s="3"/>
      <c r="B70" s="3"/>
      <c r="C70" s="3"/>
      <c r="E70" s="3"/>
      <c r="F70" s="3"/>
      <c r="G70" s="3"/>
      <c r="H70" s="3"/>
      <c r="J70" s="3"/>
      <c r="L70" s="3"/>
      <c r="M70" s="3"/>
      <c r="Q70" s="3"/>
      <c r="X70" s="3"/>
    </row>
    <row r="71" spans="1:24" x14ac:dyDescent="0.2">
      <c r="A71" s="3"/>
      <c r="B71" s="3"/>
      <c r="C71" s="3"/>
      <c r="E71" s="3"/>
      <c r="F71" s="3"/>
      <c r="G71" s="3"/>
      <c r="H71" s="3"/>
      <c r="J71" s="3"/>
      <c r="L71" s="3"/>
      <c r="M71" s="3"/>
      <c r="Q71" s="3"/>
      <c r="X71" s="3"/>
    </row>
    <row r="72" spans="1:24" x14ac:dyDescent="0.2">
      <c r="A72" s="3"/>
      <c r="B72" s="3"/>
      <c r="C72" s="3"/>
      <c r="E72" s="3"/>
      <c r="F72" s="3"/>
      <c r="G72" s="3"/>
      <c r="H72" s="3"/>
      <c r="J72" s="3"/>
      <c r="L72" s="3"/>
      <c r="M72" s="3"/>
      <c r="Q72" s="3"/>
      <c r="X72" s="3"/>
    </row>
    <row r="73" spans="1:24" x14ac:dyDescent="0.2">
      <c r="A73" s="3"/>
      <c r="B73" s="3"/>
      <c r="C73" s="3"/>
      <c r="E73" s="3"/>
      <c r="F73" s="3"/>
      <c r="G73" s="3"/>
      <c r="H73" s="3"/>
      <c r="J73" s="3"/>
      <c r="L73" s="3"/>
      <c r="M73" s="3"/>
      <c r="Q73" s="3"/>
      <c r="X73" s="3"/>
    </row>
    <row r="74" spans="1:24" x14ac:dyDescent="0.2">
      <c r="A74" s="3"/>
      <c r="B74" s="3"/>
      <c r="C74" s="3"/>
      <c r="E74" s="3"/>
      <c r="F74" s="3"/>
      <c r="G74" s="3"/>
      <c r="H74" s="3"/>
      <c r="J74" s="3"/>
      <c r="L74" s="3"/>
      <c r="M74" s="3"/>
      <c r="Q74" s="3"/>
      <c r="X74" s="3"/>
    </row>
    <row r="75" spans="1:24" x14ac:dyDescent="0.2">
      <c r="A75" s="3"/>
      <c r="B75" s="3"/>
      <c r="C75" s="3"/>
      <c r="E75" s="3"/>
      <c r="F75" s="3"/>
      <c r="G75" s="3"/>
      <c r="H75" s="3"/>
      <c r="J75" s="3"/>
      <c r="L75" s="3"/>
      <c r="M75" s="3"/>
      <c r="Q75" s="3"/>
      <c r="X75" s="3"/>
    </row>
    <row r="76" spans="1:24" x14ac:dyDescent="0.2">
      <c r="A76" s="3"/>
      <c r="B76" s="3"/>
      <c r="C76" s="3"/>
      <c r="E76" s="3"/>
      <c r="F76" s="3"/>
      <c r="G76" s="3"/>
      <c r="H76" s="3"/>
      <c r="J76" s="3"/>
      <c r="L76" s="3"/>
      <c r="M76" s="3"/>
      <c r="Q76" s="3"/>
      <c r="X76" s="3"/>
    </row>
    <row r="77" spans="1:24" x14ac:dyDescent="0.2">
      <c r="A77" s="3"/>
      <c r="B77" s="3"/>
      <c r="C77" s="3"/>
      <c r="E77" s="3"/>
      <c r="F77" s="3"/>
      <c r="G77" s="3"/>
      <c r="H77" s="3"/>
      <c r="J77" s="3"/>
      <c r="L77" s="3"/>
      <c r="M77" s="3"/>
      <c r="Q77" s="3"/>
      <c r="X77" s="3"/>
    </row>
    <row r="78" spans="1:24" x14ac:dyDescent="0.2">
      <c r="A78" s="3"/>
      <c r="B78" s="3"/>
      <c r="C78" s="3"/>
      <c r="E78" s="3"/>
      <c r="F78" s="3"/>
      <c r="G78" s="3"/>
      <c r="H78" s="3"/>
      <c r="J78" s="3"/>
      <c r="L78" s="3"/>
      <c r="M78" s="3"/>
      <c r="Q78" s="3"/>
      <c r="X78" s="3"/>
    </row>
    <row r="79" spans="1:24" x14ac:dyDescent="0.2">
      <c r="A79" s="3"/>
      <c r="B79" s="3"/>
      <c r="C79" s="3"/>
      <c r="E79" s="3"/>
      <c r="F79" s="3"/>
      <c r="G79" s="3"/>
      <c r="H79" s="3"/>
      <c r="J79" s="3"/>
      <c r="L79" s="3"/>
      <c r="M79" s="3"/>
      <c r="Q79" s="3"/>
      <c r="X79" s="3"/>
    </row>
    <row r="80" spans="1:24" x14ac:dyDescent="0.2">
      <c r="A80" s="3"/>
      <c r="B80" s="3"/>
      <c r="C80" s="3"/>
      <c r="E80" s="3"/>
      <c r="F80" s="3"/>
      <c r="G80" s="3"/>
      <c r="H80" s="3"/>
      <c r="J80" s="3"/>
      <c r="L80" s="3"/>
      <c r="M80" s="3"/>
      <c r="Q80" s="3"/>
      <c r="X80" s="3"/>
    </row>
    <row r="81" spans="1:24" x14ac:dyDescent="0.2">
      <c r="A81" s="3"/>
      <c r="B81" s="3"/>
      <c r="C81" s="3"/>
      <c r="E81" s="3"/>
      <c r="F81" s="3"/>
      <c r="G81" s="3"/>
      <c r="H81" s="3"/>
      <c r="J81" s="3"/>
      <c r="L81" s="3"/>
      <c r="M81" s="3"/>
      <c r="Q81" s="3"/>
      <c r="X81" s="3"/>
    </row>
    <row r="82" spans="1:24" x14ac:dyDescent="0.2">
      <c r="A82" s="3"/>
      <c r="B82" s="3"/>
      <c r="C82" s="3"/>
      <c r="E82" s="3"/>
      <c r="F82" s="3"/>
      <c r="G82" s="3"/>
      <c r="H82" s="3"/>
      <c r="J82" s="3"/>
      <c r="L82" s="3"/>
      <c r="M82" s="3"/>
      <c r="Q82" s="3"/>
      <c r="X82" s="3"/>
    </row>
    <row r="83" spans="1:24" x14ac:dyDescent="0.2">
      <c r="A83" s="3"/>
      <c r="B83" s="3"/>
      <c r="C83" s="3"/>
      <c r="E83" s="3"/>
      <c r="F83" s="3"/>
      <c r="G83" s="3"/>
      <c r="H83" s="3"/>
      <c r="J83" s="3"/>
      <c r="L83" s="3"/>
      <c r="M83" s="3"/>
      <c r="Q83" s="3"/>
      <c r="X83" s="3"/>
    </row>
    <row r="84" spans="1:24" x14ac:dyDescent="0.2">
      <c r="A84" s="3"/>
      <c r="B84" s="3"/>
      <c r="C84" s="3"/>
      <c r="E84" s="3"/>
      <c r="F84" s="3"/>
      <c r="G84" s="3"/>
      <c r="H84" s="3"/>
      <c r="J84" s="3"/>
      <c r="L84" s="3"/>
      <c r="M84" s="3"/>
      <c r="Q84" s="3"/>
      <c r="X84" s="3"/>
    </row>
    <row r="85" spans="1:24" x14ac:dyDescent="0.2">
      <c r="A85" s="3"/>
      <c r="B85" s="3"/>
      <c r="C85" s="3"/>
      <c r="E85" s="3"/>
      <c r="F85" s="3"/>
      <c r="G85" s="3"/>
      <c r="H85" s="3"/>
      <c r="J85" s="3"/>
      <c r="L85" s="3"/>
      <c r="M85" s="3"/>
      <c r="Q85" s="3"/>
      <c r="X85" s="3"/>
    </row>
    <row r="86" spans="1:24" x14ac:dyDescent="0.2">
      <c r="A86" s="3"/>
      <c r="B86" s="3"/>
      <c r="C86" s="3"/>
      <c r="E86" s="3"/>
      <c r="F86" s="3"/>
      <c r="G86" s="3"/>
      <c r="H86" s="3"/>
      <c r="J86" s="3"/>
      <c r="L86" s="3"/>
      <c r="M86" s="3"/>
      <c r="Q86" s="3"/>
      <c r="X86" s="3"/>
    </row>
    <row r="87" spans="1:24" x14ac:dyDescent="0.2">
      <c r="A87" s="3"/>
      <c r="B87" s="3"/>
      <c r="C87" s="3"/>
      <c r="E87" s="3"/>
      <c r="F87" s="3"/>
      <c r="G87" s="3"/>
      <c r="H87" s="3"/>
      <c r="J87" s="3"/>
      <c r="L87" s="3"/>
      <c r="M87" s="3"/>
      <c r="Q87" s="3"/>
      <c r="X87" s="3"/>
    </row>
    <row r="88" spans="1:24" x14ac:dyDescent="0.2">
      <c r="A88" s="3"/>
      <c r="B88" s="3"/>
      <c r="C88" s="3"/>
      <c r="E88" s="3"/>
      <c r="F88" s="3"/>
      <c r="G88" s="3"/>
      <c r="H88" s="3"/>
      <c r="J88" s="3"/>
      <c r="L88" s="3"/>
      <c r="M88" s="3"/>
      <c r="Q88" s="3"/>
      <c r="X88" s="3"/>
    </row>
    <row r="89" spans="1:24" x14ac:dyDescent="0.2">
      <c r="A89" s="3"/>
      <c r="B89" s="3"/>
      <c r="C89" s="3"/>
      <c r="E89" s="3"/>
      <c r="F89" s="3"/>
      <c r="G89" s="3"/>
      <c r="H89" s="3"/>
      <c r="J89" s="3"/>
      <c r="L89" s="3"/>
      <c r="M89" s="3"/>
      <c r="Q89" s="3"/>
      <c r="X89" s="3"/>
    </row>
    <row r="90" spans="1:24" x14ac:dyDescent="0.2">
      <c r="A90" s="3"/>
      <c r="B90" s="3"/>
      <c r="C90" s="3"/>
      <c r="E90" s="3"/>
      <c r="F90" s="3"/>
      <c r="G90" s="3"/>
      <c r="H90" s="3"/>
      <c r="J90" s="3"/>
      <c r="L90" s="3"/>
      <c r="M90" s="3"/>
      <c r="Q90" s="3"/>
      <c r="X90" s="3"/>
    </row>
    <row r="91" spans="1:24" x14ac:dyDescent="0.2">
      <c r="A91" s="3"/>
      <c r="B91" s="3"/>
      <c r="C91" s="3"/>
      <c r="E91" s="3"/>
      <c r="F91" s="3"/>
      <c r="G91" s="3"/>
      <c r="H91" s="3"/>
      <c r="J91" s="3"/>
      <c r="L91" s="3"/>
      <c r="M91" s="3"/>
      <c r="Q91" s="3"/>
      <c r="X91" s="3"/>
    </row>
    <row r="92" spans="1:24" x14ac:dyDescent="0.2">
      <c r="A92" s="3"/>
      <c r="B92" s="3"/>
      <c r="C92" s="3"/>
      <c r="E92" s="3"/>
      <c r="F92" s="3"/>
      <c r="G92" s="3"/>
      <c r="H92" s="3"/>
      <c r="J92" s="3"/>
      <c r="L92" s="3"/>
      <c r="M92" s="3"/>
      <c r="Q92" s="3"/>
      <c r="X92" s="3"/>
    </row>
    <row r="93" spans="1:24" x14ac:dyDescent="0.2">
      <c r="A93" s="3"/>
      <c r="B93" s="3"/>
      <c r="C93" s="3"/>
      <c r="E93" s="3"/>
      <c r="F93" s="3"/>
      <c r="G93" s="3"/>
      <c r="H93" s="3"/>
      <c r="J93" s="3"/>
      <c r="L93" s="3"/>
      <c r="M93" s="3"/>
      <c r="Q93" s="3"/>
      <c r="X93" s="3"/>
    </row>
    <row r="94" spans="1:24" x14ac:dyDescent="0.2">
      <c r="A94" s="3"/>
      <c r="B94" s="3"/>
      <c r="C94" s="3"/>
      <c r="E94" s="3"/>
      <c r="F94" s="3"/>
      <c r="G94" s="3"/>
      <c r="H94" s="3"/>
      <c r="J94" s="3"/>
      <c r="L94" s="3"/>
      <c r="M94" s="3"/>
      <c r="Q94" s="3"/>
      <c r="X94" s="3"/>
    </row>
    <row r="95" spans="1:24" x14ac:dyDescent="0.2">
      <c r="A95" s="3"/>
      <c r="B95" s="3"/>
      <c r="C95" s="3"/>
      <c r="E95" s="3"/>
      <c r="F95" s="3"/>
      <c r="G95" s="3"/>
      <c r="H95" s="3"/>
      <c r="J95" s="3"/>
      <c r="L95" s="3"/>
      <c r="M95" s="3"/>
      <c r="Q95" s="3"/>
      <c r="X95" s="3"/>
    </row>
    <row r="96" spans="1:24" x14ac:dyDescent="0.2">
      <c r="A96" s="3"/>
      <c r="B96" s="3"/>
      <c r="C96" s="3"/>
      <c r="E96" s="3"/>
      <c r="F96" s="3"/>
      <c r="G96" s="3"/>
      <c r="H96" s="3"/>
      <c r="J96" s="3"/>
      <c r="L96" s="3"/>
      <c r="M96" s="3"/>
      <c r="Q96" s="3"/>
      <c r="X96" s="3"/>
    </row>
    <row r="97" spans="1:24" x14ac:dyDescent="0.2">
      <c r="A97" s="3"/>
      <c r="B97" s="3"/>
      <c r="C97" s="3"/>
      <c r="E97" s="3"/>
      <c r="F97" s="3"/>
      <c r="G97" s="3"/>
      <c r="H97" s="3"/>
      <c r="J97" s="3"/>
      <c r="L97" s="3"/>
      <c r="M97" s="3"/>
      <c r="Q97" s="3"/>
      <c r="X97" s="3"/>
    </row>
    <row r="98" spans="1:24" x14ac:dyDescent="0.2">
      <c r="A98" s="3"/>
      <c r="B98" s="3"/>
      <c r="C98" s="3"/>
      <c r="E98" s="3"/>
      <c r="F98" s="3"/>
      <c r="G98" s="3"/>
      <c r="H98" s="3"/>
      <c r="J98" s="3"/>
      <c r="L98" s="3"/>
      <c r="M98" s="3"/>
      <c r="Q98" s="3"/>
      <c r="X98" s="3"/>
    </row>
    <row r="99" spans="1:24" x14ac:dyDescent="0.2">
      <c r="A99" s="3"/>
      <c r="B99" s="3"/>
      <c r="C99" s="3"/>
      <c r="E99" s="3"/>
      <c r="F99" s="3"/>
      <c r="G99" s="3"/>
      <c r="H99" s="3"/>
      <c r="J99" s="3"/>
      <c r="L99" s="3"/>
      <c r="M99" s="3"/>
      <c r="Q99" s="3"/>
      <c r="X99" s="3"/>
    </row>
    <row r="100" spans="1:24" x14ac:dyDescent="0.2">
      <c r="A100" s="3"/>
      <c r="B100" s="3"/>
      <c r="C100" s="3"/>
      <c r="E100" s="3"/>
      <c r="F100" s="3"/>
      <c r="G100" s="3"/>
      <c r="H100" s="3"/>
      <c r="J100" s="3"/>
      <c r="L100" s="3"/>
      <c r="M100" s="3"/>
      <c r="Q100" s="3"/>
      <c r="X100" s="3"/>
    </row>
    <row r="101" spans="1:24" x14ac:dyDescent="0.2">
      <c r="A101" s="3"/>
      <c r="B101" s="3"/>
      <c r="C101" s="3"/>
      <c r="E101" s="3"/>
      <c r="F101" s="3"/>
      <c r="G101" s="3"/>
      <c r="H101" s="3"/>
      <c r="J101" s="3"/>
      <c r="L101" s="3"/>
      <c r="M101" s="3"/>
      <c r="Q101" s="3"/>
      <c r="X101" s="3"/>
    </row>
    <row r="102" spans="1:24" x14ac:dyDescent="0.2">
      <c r="A102" s="3"/>
      <c r="B102" s="3"/>
      <c r="C102" s="3"/>
      <c r="E102" s="3"/>
      <c r="F102" s="3"/>
      <c r="G102" s="3"/>
      <c r="H102" s="3"/>
      <c r="J102" s="3"/>
      <c r="L102" s="3"/>
      <c r="M102" s="3"/>
      <c r="Q102" s="3"/>
      <c r="X102" s="3"/>
    </row>
    <row r="103" spans="1:24" x14ac:dyDescent="0.2">
      <c r="A103" s="3"/>
      <c r="B103" s="3"/>
      <c r="C103" s="3"/>
      <c r="E103" s="3"/>
      <c r="F103" s="3"/>
      <c r="G103" s="3"/>
      <c r="H103" s="3"/>
      <c r="J103" s="3"/>
      <c r="L103" s="3"/>
      <c r="M103" s="3"/>
      <c r="Q103" s="3"/>
      <c r="X103" s="3"/>
    </row>
    <row r="104" spans="1:24" x14ac:dyDescent="0.2">
      <c r="A104" s="3"/>
      <c r="B104" s="3"/>
      <c r="C104" s="3"/>
      <c r="E104" s="3"/>
      <c r="F104" s="3"/>
      <c r="G104" s="3"/>
      <c r="H104" s="3"/>
      <c r="J104" s="3"/>
      <c r="L104" s="3"/>
      <c r="M104" s="3"/>
      <c r="Q104" s="3"/>
      <c r="X104" s="3"/>
    </row>
    <row r="105" spans="1:24" x14ac:dyDescent="0.2">
      <c r="A105" s="3"/>
      <c r="B105" s="3"/>
      <c r="C105" s="3"/>
      <c r="E105" s="3"/>
      <c r="F105" s="3"/>
      <c r="G105" s="3"/>
      <c r="H105" s="3"/>
      <c r="J105" s="3"/>
      <c r="L105" s="3"/>
      <c r="M105" s="3"/>
      <c r="Q105" s="3"/>
      <c r="X105" s="3"/>
    </row>
    <row r="106" spans="1:24" x14ac:dyDescent="0.2">
      <c r="A106" s="3"/>
      <c r="B106" s="3"/>
      <c r="C106" s="3"/>
      <c r="E106" s="3"/>
      <c r="F106" s="3"/>
      <c r="G106" s="3"/>
      <c r="H106" s="3"/>
      <c r="J106" s="3"/>
      <c r="L106" s="3"/>
      <c r="M106" s="3"/>
      <c r="Q106" s="3"/>
      <c r="X106" s="3"/>
    </row>
    <row r="107" spans="1:24" x14ac:dyDescent="0.2">
      <c r="A107" s="3"/>
      <c r="B107" s="3"/>
      <c r="C107" s="3"/>
      <c r="E107" s="3"/>
      <c r="F107" s="3"/>
      <c r="G107" s="3"/>
      <c r="H107" s="3"/>
      <c r="J107" s="3"/>
      <c r="L107" s="3"/>
      <c r="M107" s="3"/>
      <c r="Q107" s="3"/>
      <c r="X107" s="3"/>
    </row>
    <row r="108" spans="1:24" x14ac:dyDescent="0.2">
      <c r="A108" s="3"/>
      <c r="B108" s="3"/>
      <c r="C108" s="3"/>
      <c r="E108" s="3"/>
      <c r="F108" s="3"/>
      <c r="G108" s="3"/>
      <c r="H108" s="3"/>
      <c r="J108" s="3"/>
      <c r="L108" s="3"/>
      <c r="M108" s="3"/>
      <c r="Q108" s="3"/>
      <c r="X108" s="3"/>
    </row>
    <row r="109" spans="1:24" x14ac:dyDescent="0.2">
      <c r="A109" s="3"/>
      <c r="B109" s="3"/>
      <c r="C109" s="3"/>
      <c r="E109" s="3"/>
      <c r="F109" s="3"/>
      <c r="G109" s="3"/>
      <c r="H109" s="3"/>
      <c r="J109" s="3"/>
      <c r="L109" s="3"/>
      <c r="M109" s="3"/>
      <c r="Q109" s="3"/>
      <c r="X109" s="3"/>
    </row>
    <row r="110" spans="1:24" x14ac:dyDescent="0.2">
      <c r="A110" s="3"/>
      <c r="B110" s="3"/>
      <c r="C110" s="3"/>
      <c r="E110" s="3"/>
      <c r="F110" s="3"/>
      <c r="G110" s="3"/>
      <c r="H110" s="3"/>
      <c r="J110" s="3"/>
      <c r="L110" s="3"/>
      <c r="M110" s="3"/>
      <c r="Q110" s="3"/>
      <c r="X110" s="3"/>
    </row>
    <row r="111" spans="1:24" x14ac:dyDescent="0.2">
      <c r="A111" s="3"/>
      <c r="B111" s="3"/>
      <c r="C111" s="3"/>
      <c r="E111" s="3"/>
      <c r="F111" s="3"/>
      <c r="G111" s="3"/>
      <c r="H111" s="3"/>
      <c r="J111" s="3"/>
      <c r="L111" s="3"/>
      <c r="M111" s="3"/>
      <c r="Q111" s="3"/>
      <c r="X111" s="3"/>
    </row>
    <row r="112" spans="1:24" x14ac:dyDescent="0.2">
      <c r="A112" s="3"/>
      <c r="B112" s="3"/>
      <c r="C112" s="3"/>
      <c r="E112" s="3"/>
      <c r="F112" s="3"/>
      <c r="G112" s="3"/>
      <c r="H112" s="3"/>
      <c r="J112" s="3"/>
      <c r="L112" s="3"/>
      <c r="M112" s="3"/>
      <c r="Q112" s="3"/>
      <c r="X112" s="3"/>
    </row>
    <row r="113" spans="1:24" x14ac:dyDescent="0.2">
      <c r="A113" s="3"/>
      <c r="B113" s="3"/>
      <c r="C113" s="3"/>
      <c r="E113" s="3"/>
      <c r="F113" s="3"/>
      <c r="G113" s="3"/>
      <c r="H113" s="3"/>
      <c r="J113" s="3"/>
      <c r="L113" s="3"/>
      <c r="M113" s="3"/>
      <c r="Q113" s="3"/>
      <c r="X113" s="3"/>
    </row>
    <row r="114" spans="1:24" x14ac:dyDescent="0.2">
      <c r="A114" s="3"/>
      <c r="B114" s="3"/>
      <c r="C114" s="3"/>
      <c r="E114" s="3"/>
      <c r="F114" s="3"/>
      <c r="G114" s="3"/>
      <c r="H114" s="3"/>
      <c r="J114" s="3"/>
      <c r="L114" s="3"/>
      <c r="M114" s="3"/>
      <c r="Q114" s="3"/>
      <c r="X114" s="3"/>
    </row>
    <row r="115" spans="1:24" x14ac:dyDescent="0.2">
      <c r="A115" s="3"/>
      <c r="B115" s="3"/>
      <c r="C115" s="3"/>
      <c r="E115" s="3"/>
      <c r="F115" s="3"/>
      <c r="G115" s="3"/>
      <c r="H115" s="3"/>
      <c r="J115" s="3"/>
      <c r="L115" s="3"/>
      <c r="M115" s="3"/>
      <c r="Q115" s="3"/>
      <c r="X115" s="3"/>
    </row>
    <row r="116" spans="1:24" x14ac:dyDescent="0.2">
      <c r="A116" s="3"/>
      <c r="B116" s="3"/>
      <c r="C116" s="3"/>
      <c r="E116" s="3"/>
      <c r="F116" s="3"/>
      <c r="G116" s="3"/>
      <c r="H116" s="3"/>
      <c r="J116" s="3"/>
      <c r="L116" s="3"/>
      <c r="M116" s="3"/>
      <c r="Q116" s="3"/>
      <c r="X116" s="3"/>
    </row>
    <row r="117" spans="1:24" x14ac:dyDescent="0.2">
      <c r="A117" s="3"/>
      <c r="B117" s="3"/>
      <c r="C117" s="3"/>
      <c r="E117" s="3"/>
      <c r="F117" s="3"/>
      <c r="G117" s="3"/>
      <c r="H117" s="3"/>
      <c r="J117" s="3"/>
      <c r="L117" s="3"/>
      <c r="M117" s="3"/>
      <c r="Q117" s="3"/>
      <c r="X117" s="3"/>
    </row>
    <row r="118" spans="1:24" x14ac:dyDescent="0.2">
      <c r="A118" s="3"/>
      <c r="B118" s="3"/>
      <c r="C118" s="3"/>
      <c r="E118" s="3"/>
      <c r="F118" s="3"/>
      <c r="G118" s="3"/>
      <c r="H118" s="3"/>
      <c r="J118" s="3"/>
      <c r="L118" s="3"/>
      <c r="M118" s="3"/>
      <c r="Q118" s="3"/>
      <c r="X118" s="3"/>
    </row>
    <row r="119" spans="1:24" x14ac:dyDescent="0.2">
      <c r="A119" s="3"/>
      <c r="B119" s="3"/>
      <c r="C119" s="3"/>
      <c r="E119" s="3"/>
      <c r="F119" s="3"/>
      <c r="G119" s="3"/>
      <c r="H119" s="3"/>
      <c r="J119" s="3"/>
      <c r="L119" s="3"/>
      <c r="M119" s="3"/>
      <c r="Q119" s="3"/>
      <c r="X119" s="3"/>
    </row>
    <row r="120" spans="1:24" x14ac:dyDescent="0.2">
      <c r="A120" s="3"/>
      <c r="B120" s="3"/>
      <c r="C120" s="3"/>
      <c r="E120" s="3"/>
      <c r="F120" s="3"/>
      <c r="G120" s="3"/>
      <c r="H120" s="3"/>
      <c r="J120" s="3"/>
      <c r="L120" s="3"/>
      <c r="M120" s="3"/>
      <c r="Q120" s="3"/>
      <c r="X120" s="3"/>
    </row>
    <row r="121" spans="1:24" x14ac:dyDescent="0.2">
      <c r="A121" s="3"/>
      <c r="B121" s="3"/>
      <c r="C121" s="3"/>
      <c r="E121" s="3"/>
      <c r="F121" s="3"/>
      <c r="G121" s="3"/>
      <c r="H121" s="3"/>
      <c r="J121" s="3"/>
      <c r="L121" s="3"/>
      <c r="M121" s="3"/>
      <c r="Q121" s="3"/>
      <c r="X121" s="3"/>
    </row>
    <row r="122" spans="1:24" x14ac:dyDescent="0.2">
      <c r="A122" s="3"/>
      <c r="B122" s="3"/>
      <c r="C122" s="3"/>
      <c r="E122" s="3"/>
      <c r="F122" s="3"/>
      <c r="G122" s="3"/>
      <c r="H122" s="3"/>
      <c r="J122" s="3"/>
      <c r="L122" s="3"/>
      <c r="M122" s="3"/>
      <c r="Q122" s="3"/>
      <c r="X122" s="3"/>
    </row>
    <row r="123" spans="1:24" x14ac:dyDescent="0.2">
      <c r="A123" s="3"/>
      <c r="B123" s="3"/>
      <c r="C123" s="3"/>
      <c r="E123" s="3"/>
      <c r="F123" s="3"/>
      <c r="G123" s="3"/>
      <c r="H123" s="3"/>
      <c r="J123" s="3"/>
      <c r="L123" s="3"/>
      <c r="M123" s="3"/>
      <c r="Q123" s="3"/>
      <c r="X123" s="3"/>
    </row>
    <row r="124" spans="1:24" x14ac:dyDescent="0.2">
      <c r="A124" s="3"/>
      <c r="B124" s="3"/>
      <c r="C124" s="3"/>
      <c r="E124" s="3"/>
      <c r="F124" s="3"/>
      <c r="G124" s="3"/>
      <c r="H124" s="3"/>
      <c r="J124" s="3"/>
      <c r="L124" s="3"/>
      <c r="M124" s="3"/>
      <c r="Q124" s="3"/>
      <c r="X124" s="3"/>
    </row>
    <row r="125" spans="1:24" x14ac:dyDescent="0.2">
      <c r="A125" s="3"/>
      <c r="B125" s="3"/>
      <c r="C125" s="3"/>
      <c r="E125" s="3"/>
      <c r="F125" s="3"/>
      <c r="G125" s="3"/>
      <c r="H125" s="3"/>
      <c r="J125" s="3"/>
      <c r="L125" s="3"/>
      <c r="M125" s="3"/>
      <c r="Q125" s="3"/>
      <c r="X125" s="3"/>
    </row>
    <row r="126" spans="1:24" x14ac:dyDescent="0.2">
      <c r="A126" s="3"/>
      <c r="B126" s="3"/>
      <c r="C126" s="3"/>
      <c r="E126" s="3"/>
      <c r="F126" s="3"/>
      <c r="G126" s="3"/>
      <c r="H126" s="3"/>
      <c r="J126" s="3"/>
      <c r="L126" s="3"/>
      <c r="M126" s="3"/>
      <c r="Q126" s="3"/>
      <c r="X126" s="3"/>
    </row>
    <row r="127" spans="1:24" x14ac:dyDescent="0.2">
      <c r="A127" s="3"/>
      <c r="B127" s="3"/>
      <c r="C127" s="3"/>
      <c r="E127" s="3"/>
      <c r="F127" s="3"/>
      <c r="G127" s="3"/>
      <c r="H127" s="3"/>
      <c r="J127" s="3"/>
      <c r="L127" s="3"/>
      <c r="M127" s="3"/>
      <c r="Q127" s="3"/>
      <c r="X127" s="3"/>
    </row>
    <row r="128" spans="1:24" x14ac:dyDescent="0.2">
      <c r="A128" s="3"/>
      <c r="B128" s="3"/>
      <c r="C128" s="3"/>
      <c r="E128" s="3"/>
      <c r="F128" s="3"/>
      <c r="G128" s="3"/>
      <c r="H128" s="3"/>
      <c r="J128" s="3"/>
      <c r="L128" s="3"/>
      <c r="M128" s="3"/>
      <c r="Q128" s="3"/>
      <c r="X128" s="3"/>
    </row>
    <row r="129" spans="1:24" x14ac:dyDescent="0.2">
      <c r="A129" s="3"/>
      <c r="B129" s="3"/>
      <c r="C129" s="3"/>
      <c r="E129" s="3"/>
      <c r="F129" s="3"/>
      <c r="G129" s="3"/>
      <c r="H129" s="3"/>
      <c r="J129" s="3"/>
      <c r="L129" s="3"/>
      <c r="M129" s="3"/>
      <c r="Q129" s="3"/>
      <c r="X129" s="3"/>
    </row>
    <row r="130" spans="1:24" x14ac:dyDescent="0.2">
      <c r="A130" s="3"/>
      <c r="B130" s="3"/>
      <c r="C130" s="3"/>
      <c r="E130" s="3"/>
      <c r="F130" s="3"/>
      <c r="G130" s="3"/>
      <c r="H130" s="3"/>
      <c r="J130" s="3"/>
      <c r="L130" s="3"/>
      <c r="M130" s="3"/>
      <c r="Q130" s="3"/>
      <c r="X130" s="3"/>
    </row>
    <row r="131" spans="1:24" x14ac:dyDescent="0.2">
      <c r="A131" s="3"/>
      <c r="B131" s="3"/>
      <c r="C131" s="3"/>
      <c r="E131" s="3"/>
      <c r="F131" s="3"/>
      <c r="G131" s="3"/>
      <c r="H131" s="3"/>
      <c r="J131" s="3"/>
      <c r="L131" s="3"/>
      <c r="M131" s="3"/>
      <c r="Q131" s="3"/>
      <c r="X131" s="3"/>
    </row>
    <row r="132" spans="1:24" x14ac:dyDescent="0.2">
      <c r="A132" s="3"/>
      <c r="B132" s="3"/>
      <c r="C132" s="3"/>
      <c r="E132" s="3"/>
      <c r="F132" s="3"/>
      <c r="G132" s="3"/>
      <c r="H132" s="3"/>
      <c r="J132" s="3"/>
      <c r="L132" s="3"/>
      <c r="M132" s="3"/>
      <c r="Q132" s="3"/>
      <c r="X132" s="3"/>
    </row>
    <row r="133" spans="1:24" x14ac:dyDescent="0.2">
      <c r="A133" s="3"/>
      <c r="B133" s="3"/>
      <c r="C133" s="3"/>
      <c r="E133" s="3"/>
      <c r="F133" s="3"/>
      <c r="G133" s="3"/>
      <c r="H133" s="3"/>
      <c r="J133" s="3"/>
      <c r="L133" s="3"/>
      <c r="M133" s="3"/>
      <c r="Q133" s="3"/>
      <c r="X133" s="3"/>
    </row>
    <row r="134" spans="1:24" x14ac:dyDescent="0.2">
      <c r="A134" s="3"/>
      <c r="B134" s="3"/>
      <c r="C134" s="3"/>
      <c r="E134" s="3"/>
      <c r="F134" s="3"/>
      <c r="G134" s="3"/>
      <c r="H134" s="3"/>
      <c r="J134" s="3"/>
      <c r="L134" s="3"/>
      <c r="M134" s="3"/>
      <c r="Q134" s="3"/>
      <c r="X134" s="3"/>
    </row>
    <row r="135" spans="1:24" x14ac:dyDescent="0.2">
      <c r="A135" s="3"/>
      <c r="B135" s="3"/>
      <c r="C135" s="3"/>
      <c r="E135" s="3"/>
      <c r="F135" s="3"/>
      <c r="G135" s="3"/>
      <c r="H135" s="3"/>
      <c r="J135" s="3"/>
      <c r="L135" s="3"/>
      <c r="M135" s="3"/>
      <c r="Q135" s="3"/>
      <c r="X135" s="3"/>
    </row>
    <row r="136" spans="1:24" x14ac:dyDescent="0.2">
      <c r="A136" s="3"/>
      <c r="B136" s="3"/>
      <c r="C136" s="3"/>
      <c r="E136" s="3"/>
      <c r="F136" s="3"/>
      <c r="G136" s="3"/>
      <c r="H136" s="3"/>
      <c r="J136" s="3"/>
      <c r="L136" s="3"/>
      <c r="M136" s="3"/>
      <c r="Q136" s="3"/>
      <c r="X136" s="3"/>
    </row>
    <row r="137" spans="1:24" x14ac:dyDescent="0.2">
      <c r="A137" s="3"/>
      <c r="B137" s="3"/>
      <c r="C137" s="3"/>
      <c r="E137" s="3"/>
      <c r="F137" s="3"/>
      <c r="G137" s="3"/>
      <c r="H137" s="3"/>
      <c r="J137" s="3"/>
      <c r="L137" s="3"/>
      <c r="M137" s="3"/>
      <c r="Q137" s="3"/>
      <c r="X137" s="3"/>
    </row>
    <row r="138" spans="1:24" x14ac:dyDescent="0.2">
      <c r="A138" s="3"/>
      <c r="B138" s="3"/>
      <c r="C138" s="3"/>
      <c r="E138" s="3"/>
      <c r="F138" s="3"/>
      <c r="G138" s="3"/>
      <c r="H138" s="3"/>
      <c r="J138" s="3"/>
      <c r="L138" s="3"/>
      <c r="M138" s="3"/>
      <c r="Q138" s="3"/>
      <c r="X138" s="3"/>
    </row>
    <row r="139" spans="1:24" x14ac:dyDescent="0.2">
      <c r="A139" s="3"/>
      <c r="B139" s="3"/>
      <c r="C139" s="3"/>
      <c r="E139" s="3"/>
      <c r="F139" s="3"/>
      <c r="G139" s="3"/>
      <c r="H139" s="3"/>
      <c r="J139" s="3"/>
      <c r="L139" s="3"/>
      <c r="M139" s="3"/>
      <c r="Q139" s="3"/>
      <c r="X139" s="3"/>
    </row>
    <row r="140" spans="1:24" x14ac:dyDescent="0.2">
      <c r="A140" s="3"/>
      <c r="B140" s="3"/>
      <c r="C140" s="3"/>
      <c r="E140" s="3"/>
      <c r="F140" s="3"/>
      <c r="G140" s="3"/>
      <c r="H140" s="3"/>
      <c r="J140" s="3"/>
      <c r="L140" s="3"/>
      <c r="M140" s="3"/>
      <c r="Q140" s="3"/>
      <c r="X140" s="3"/>
    </row>
    <row r="141" spans="1:24" x14ac:dyDescent="0.2">
      <c r="A141" s="3"/>
      <c r="B141" s="3"/>
      <c r="C141" s="3"/>
      <c r="E141" s="3"/>
      <c r="F141" s="3"/>
      <c r="G141" s="3"/>
      <c r="H141" s="3"/>
      <c r="J141" s="3"/>
      <c r="L141" s="3"/>
      <c r="M141" s="3"/>
      <c r="Q141" s="3"/>
      <c r="X141" s="3"/>
    </row>
    <row r="142" spans="1:24" x14ac:dyDescent="0.2">
      <c r="A142" s="3"/>
      <c r="B142" s="3"/>
      <c r="C142" s="3"/>
      <c r="E142" s="3"/>
      <c r="F142" s="3"/>
      <c r="G142" s="3"/>
      <c r="H142" s="3"/>
      <c r="J142" s="3"/>
      <c r="L142" s="3"/>
      <c r="M142" s="3"/>
      <c r="Q142" s="3"/>
      <c r="X142" s="3"/>
    </row>
    <row r="143" spans="1:24" x14ac:dyDescent="0.2">
      <c r="A143" s="3"/>
      <c r="B143" s="3"/>
      <c r="C143" s="3"/>
      <c r="E143" s="3"/>
      <c r="F143" s="3"/>
      <c r="G143" s="3"/>
      <c r="H143" s="3"/>
      <c r="J143" s="3"/>
      <c r="L143" s="3"/>
      <c r="M143" s="3"/>
      <c r="Q143" s="3"/>
      <c r="X143" s="3"/>
    </row>
    <row r="144" spans="1:24" x14ac:dyDescent="0.2">
      <c r="A144" s="3"/>
      <c r="B144" s="3"/>
      <c r="C144" s="3"/>
      <c r="E144" s="3"/>
      <c r="F144" s="3"/>
      <c r="G144" s="3"/>
      <c r="H144" s="3"/>
      <c r="J144" s="3"/>
      <c r="L144" s="3"/>
      <c r="M144" s="3"/>
      <c r="Q144" s="3"/>
      <c r="X144" s="3"/>
    </row>
    <row r="145" spans="1:24" x14ac:dyDescent="0.2">
      <c r="A145" s="3"/>
      <c r="B145" s="3"/>
      <c r="C145" s="3"/>
      <c r="E145" s="3"/>
      <c r="F145" s="3"/>
      <c r="G145" s="3"/>
      <c r="H145" s="3"/>
      <c r="J145" s="3"/>
      <c r="L145" s="3"/>
      <c r="M145" s="3"/>
      <c r="Q145" s="3"/>
      <c r="X145" s="3"/>
    </row>
    <row r="146" spans="1:24" x14ac:dyDescent="0.2">
      <c r="A146" s="3"/>
      <c r="B146" s="3"/>
      <c r="C146" s="3"/>
      <c r="E146" s="3"/>
      <c r="F146" s="3"/>
      <c r="G146" s="3"/>
      <c r="H146" s="3"/>
      <c r="J146" s="3"/>
      <c r="L146" s="3"/>
      <c r="M146" s="3"/>
      <c r="Q146" s="3"/>
      <c r="X146" s="3"/>
    </row>
    <row r="147" spans="1:24" x14ac:dyDescent="0.2">
      <c r="A147" s="3"/>
      <c r="B147" s="3"/>
      <c r="C147" s="3"/>
      <c r="E147" s="3"/>
      <c r="F147" s="3"/>
      <c r="G147" s="3"/>
      <c r="H147" s="3"/>
      <c r="J147" s="3"/>
      <c r="L147" s="3"/>
      <c r="M147" s="3"/>
      <c r="Q147" s="3"/>
      <c r="X147" s="3"/>
    </row>
    <row r="148" spans="1:24" x14ac:dyDescent="0.2">
      <c r="A148" s="3"/>
      <c r="B148" s="3"/>
      <c r="C148" s="3"/>
      <c r="E148" s="3"/>
      <c r="F148" s="3"/>
      <c r="G148" s="3"/>
      <c r="H148" s="3"/>
      <c r="J148" s="3"/>
      <c r="L148" s="3"/>
      <c r="M148" s="3"/>
      <c r="Q148" s="3"/>
      <c r="X148" s="3"/>
    </row>
    <row r="149" spans="1:24" x14ac:dyDescent="0.2">
      <c r="A149" s="3"/>
      <c r="B149" s="3"/>
      <c r="C149" s="3"/>
      <c r="E149" s="3"/>
      <c r="F149" s="3"/>
      <c r="G149" s="3"/>
      <c r="H149" s="3"/>
      <c r="J149" s="3"/>
      <c r="L149" s="3"/>
      <c r="M149" s="3"/>
      <c r="Q149" s="3"/>
      <c r="X149" s="3"/>
    </row>
    <row r="150" spans="1:24" x14ac:dyDescent="0.2">
      <c r="A150" s="3"/>
      <c r="B150" s="3"/>
      <c r="C150" s="3"/>
      <c r="E150" s="3"/>
      <c r="F150" s="3"/>
      <c r="G150" s="3"/>
      <c r="H150" s="3"/>
      <c r="J150" s="3"/>
      <c r="L150" s="3"/>
      <c r="M150" s="3"/>
      <c r="Q150" s="3"/>
      <c r="X150" s="3"/>
    </row>
    <row r="151" spans="1:24" x14ac:dyDescent="0.2">
      <c r="A151" s="3"/>
      <c r="B151" s="3"/>
      <c r="C151" s="3"/>
      <c r="E151" s="3"/>
      <c r="F151" s="3"/>
      <c r="G151" s="3"/>
      <c r="H151" s="3"/>
      <c r="J151" s="3"/>
      <c r="L151" s="3"/>
      <c r="M151" s="3"/>
      <c r="Q151" s="3"/>
      <c r="X151" s="3"/>
    </row>
    <row r="152" spans="1:24" x14ac:dyDescent="0.2">
      <c r="A152" s="3"/>
      <c r="B152" s="3"/>
      <c r="C152" s="3"/>
      <c r="E152" s="3"/>
      <c r="F152" s="3"/>
      <c r="G152" s="3"/>
      <c r="H152" s="3"/>
      <c r="J152" s="3"/>
      <c r="L152" s="3"/>
      <c r="M152" s="3"/>
      <c r="Q152" s="3"/>
      <c r="X152" s="3"/>
    </row>
    <row r="153" spans="1:24" x14ac:dyDescent="0.2">
      <c r="A153" s="3"/>
      <c r="B153" s="3"/>
      <c r="C153" s="3"/>
      <c r="E153" s="3"/>
      <c r="F153" s="3"/>
      <c r="G153" s="3"/>
      <c r="H153" s="3"/>
      <c r="J153" s="3"/>
      <c r="L153" s="3"/>
      <c r="M153" s="3"/>
      <c r="Q153" s="3"/>
      <c r="X153" s="3"/>
    </row>
    <row r="154" spans="1:24" x14ac:dyDescent="0.2">
      <c r="A154" s="3"/>
      <c r="B154" s="3"/>
      <c r="C154" s="3"/>
      <c r="E154" s="3"/>
      <c r="F154" s="3"/>
      <c r="G154" s="3"/>
      <c r="H154" s="3"/>
      <c r="J154" s="3"/>
      <c r="L154" s="3"/>
      <c r="M154" s="3"/>
      <c r="Q154" s="3"/>
      <c r="X154" s="3"/>
    </row>
    <row r="155" spans="1:24" x14ac:dyDescent="0.2">
      <c r="A155" s="3"/>
      <c r="B155" s="3"/>
      <c r="C155" s="3"/>
      <c r="E155" s="3"/>
      <c r="F155" s="3"/>
      <c r="G155" s="3"/>
      <c r="H155" s="3"/>
      <c r="J155" s="3"/>
      <c r="L155" s="3"/>
      <c r="M155" s="3"/>
      <c r="Q155" s="3"/>
      <c r="X155" s="3"/>
    </row>
    <row r="156" spans="1:24" x14ac:dyDescent="0.2">
      <c r="A156" s="3"/>
      <c r="B156" s="3"/>
      <c r="C156" s="3"/>
      <c r="E156" s="3"/>
      <c r="F156" s="3"/>
      <c r="G156" s="3"/>
      <c r="H156" s="3"/>
      <c r="J156" s="3"/>
      <c r="L156" s="3"/>
      <c r="M156" s="3"/>
      <c r="Q156" s="3"/>
      <c r="X156" s="3"/>
    </row>
  </sheetData>
  <mergeCells count="3">
    <mergeCell ref="E3:H3"/>
    <mergeCell ref="L3:O3"/>
    <mergeCell ref="S3:V3"/>
  </mergeCells>
  <pageMargins left="0.25" right="0.25" top="0.75" bottom="0.75" header="0.3" footer="0.3"/>
  <pageSetup scale="4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00FF"/>
    <pageSetUpPr fitToPage="1"/>
  </sheetPr>
  <dimension ref="A1:F21"/>
  <sheetViews>
    <sheetView zoomScale="65" zoomScaleNormal="65" zoomScaleSheetLayoutView="70" workbookViewId="0"/>
  </sheetViews>
  <sheetFormatPr defaultColWidth="9.140625" defaultRowHeight="16.5" x14ac:dyDescent="0.25"/>
  <cols>
    <col min="1" max="1" width="5.7109375" style="52" customWidth="1"/>
    <col min="2" max="2" width="122.42578125" style="52" customWidth="1"/>
    <col min="3" max="3" width="7.7109375" style="52" customWidth="1"/>
    <col min="4" max="5" width="9.140625" style="52"/>
    <col min="6" max="6" width="6.28515625" style="52" customWidth="1"/>
    <col min="7" max="16384" width="9.140625" style="52"/>
  </cols>
  <sheetData>
    <row r="1" spans="1:6" ht="18" x14ac:dyDescent="0.25">
      <c r="B1" s="207" t="s">
        <v>287</v>
      </c>
    </row>
    <row r="2" spans="1:6" x14ac:dyDescent="0.25">
      <c r="B2" s="212"/>
    </row>
    <row r="3" spans="1:6" x14ac:dyDescent="0.25">
      <c r="B3" s="52" t="s">
        <v>174</v>
      </c>
      <c r="E3" s="24"/>
    </row>
    <row r="4" spans="1:6" x14ac:dyDescent="0.25">
      <c r="A4" s="213"/>
      <c r="B4" s="215"/>
    </row>
    <row r="5" spans="1:6" ht="66" x14ac:dyDescent="0.25">
      <c r="A5" s="222" t="s">
        <v>113</v>
      </c>
      <c r="B5" s="213" t="s">
        <v>350</v>
      </c>
      <c r="F5" s="213"/>
    </row>
    <row r="6" spans="1:6" x14ac:dyDescent="0.25">
      <c r="A6" s="213"/>
      <c r="B6" s="215"/>
      <c r="F6" s="215"/>
    </row>
    <row r="7" spans="1:6" ht="66" x14ac:dyDescent="0.25">
      <c r="A7" s="222" t="s">
        <v>114</v>
      </c>
      <c r="B7" s="213" t="s">
        <v>349</v>
      </c>
      <c r="F7" s="213"/>
    </row>
    <row r="8" spans="1:6" x14ac:dyDescent="0.25">
      <c r="A8" s="213"/>
      <c r="B8" s="215"/>
      <c r="F8" s="215"/>
    </row>
    <row r="9" spans="1:6" ht="66" x14ac:dyDescent="0.25">
      <c r="A9" s="222" t="s">
        <v>115</v>
      </c>
      <c r="B9" s="213" t="s">
        <v>348</v>
      </c>
      <c r="F9" s="213"/>
    </row>
    <row r="10" spans="1:6" x14ac:dyDescent="0.25">
      <c r="A10" s="213"/>
      <c r="B10" s="215"/>
      <c r="F10" s="215"/>
    </row>
    <row r="11" spans="1:6" ht="66" x14ac:dyDescent="0.25">
      <c r="A11" s="222" t="s">
        <v>116</v>
      </c>
      <c r="B11" s="213" t="s">
        <v>347</v>
      </c>
      <c r="F11" s="213"/>
    </row>
    <row r="12" spans="1:6" x14ac:dyDescent="0.25">
      <c r="A12" s="213"/>
      <c r="B12" s="215"/>
      <c r="F12" s="215"/>
    </row>
    <row r="13" spans="1:6" ht="82.5" x14ac:dyDescent="0.25">
      <c r="A13" s="222" t="s">
        <v>117</v>
      </c>
      <c r="B13" s="213" t="s">
        <v>351</v>
      </c>
      <c r="F13" s="213"/>
    </row>
    <row r="14" spans="1:6" x14ac:dyDescent="0.25">
      <c r="A14" s="213"/>
      <c r="B14" s="215"/>
      <c r="F14" s="215"/>
    </row>
    <row r="15" spans="1:6" ht="66" x14ac:dyDescent="0.25">
      <c r="A15" s="222" t="s">
        <v>118</v>
      </c>
      <c r="B15" s="213" t="s">
        <v>352</v>
      </c>
      <c r="F15" s="213"/>
    </row>
    <row r="16" spans="1:6" x14ac:dyDescent="0.25">
      <c r="A16" s="213"/>
      <c r="B16" s="216"/>
      <c r="F16" s="216"/>
    </row>
    <row r="17" spans="1:6" ht="66" x14ac:dyDescent="0.25">
      <c r="A17" s="222" t="s">
        <v>119</v>
      </c>
      <c r="B17" s="213" t="s">
        <v>353</v>
      </c>
      <c r="F17" s="213"/>
    </row>
    <row r="18" spans="1:6" x14ac:dyDescent="0.25">
      <c r="A18" s="213"/>
      <c r="B18" s="217"/>
      <c r="F18" s="217"/>
    </row>
    <row r="19" spans="1:6" ht="49.5" x14ac:dyDescent="0.25">
      <c r="A19" s="222" t="s">
        <v>120</v>
      </c>
      <c r="B19" s="250" t="s">
        <v>281</v>
      </c>
      <c r="F19" s="250"/>
    </row>
    <row r="20" spans="1:6" x14ac:dyDescent="0.25">
      <c r="A20" s="213"/>
    </row>
    <row r="21" spans="1:6" ht="137.25" customHeight="1" x14ac:dyDescent="0.25">
      <c r="A21" s="222" t="s">
        <v>121</v>
      </c>
      <c r="B21" s="221" t="s">
        <v>361</v>
      </c>
    </row>
  </sheetData>
  <pageMargins left="0.25" right="0.25" top="0.75" bottom="0.75" header="0.3" footer="0.3"/>
  <pageSetup scale="7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0000FF"/>
    <pageSetUpPr fitToPage="1"/>
  </sheetPr>
  <dimension ref="B1:H53"/>
  <sheetViews>
    <sheetView zoomScale="65" zoomScaleNormal="65" zoomScaleSheetLayoutView="70" workbookViewId="0"/>
  </sheetViews>
  <sheetFormatPr defaultColWidth="9.140625" defaultRowHeight="16.5" x14ac:dyDescent="0.25"/>
  <cols>
    <col min="1" max="1" width="9.140625" style="52"/>
    <col min="2" max="2" width="196.7109375" style="221" customWidth="1"/>
    <col min="3" max="3" width="134.85546875" style="52" customWidth="1"/>
    <col min="4" max="16384" width="9.140625" style="52"/>
  </cols>
  <sheetData>
    <row r="1" spans="2:8" ht="18" x14ac:dyDescent="0.25">
      <c r="B1" s="223" t="s">
        <v>286</v>
      </c>
      <c r="C1" s="218"/>
      <c r="D1" s="218"/>
      <c r="E1" s="218"/>
      <c r="F1" s="218"/>
      <c r="G1" s="218"/>
      <c r="H1" s="218"/>
    </row>
    <row r="3" spans="2:8" ht="167.25" customHeight="1" x14ac:dyDescent="0.25">
      <c r="B3" s="216" t="s">
        <v>365</v>
      </c>
    </row>
    <row r="4" spans="2:8" ht="33" x14ac:dyDescent="0.25">
      <c r="B4" s="216" t="s">
        <v>134</v>
      </c>
    </row>
    <row r="5" spans="2:8" ht="33" x14ac:dyDescent="0.25">
      <c r="B5" s="219" t="s">
        <v>187</v>
      </c>
    </row>
    <row r="6" spans="2:8" x14ac:dyDescent="0.25">
      <c r="B6" s="219" t="s">
        <v>188</v>
      </c>
    </row>
    <row r="7" spans="2:8" ht="33" x14ac:dyDescent="0.25">
      <c r="B7" s="219" t="s">
        <v>189</v>
      </c>
    </row>
    <row r="8" spans="2:8" x14ac:dyDescent="0.25">
      <c r="B8" s="216" t="s">
        <v>135</v>
      </c>
    </row>
    <row r="9" spans="2:8" ht="82.5" x14ac:dyDescent="0.25">
      <c r="B9" s="216" t="s">
        <v>136</v>
      </c>
    </row>
    <row r="11" spans="2:8" x14ac:dyDescent="0.25">
      <c r="B11" s="216" t="s">
        <v>137</v>
      </c>
    </row>
    <row r="12" spans="2:8" ht="82.5" x14ac:dyDescent="0.25">
      <c r="B12" s="219" t="s">
        <v>190</v>
      </c>
    </row>
    <row r="13" spans="2:8" ht="66" x14ac:dyDescent="0.25">
      <c r="B13" s="219" t="s">
        <v>191</v>
      </c>
    </row>
    <row r="14" spans="2:8" ht="90" customHeight="1" x14ac:dyDescent="0.25">
      <c r="B14" s="219" t="s">
        <v>192</v>
      </c>
    </row>
    <row r="15" spans="2:8" ht="82.5" x14ac:dyDescent="0.25">
      <c r="B15" s="219" t="s">
        <v>193</v>
      </c>
    </row>
    <row r="16" spans="2:8" ht="82.5" x14ac:dyDescent="0.25">
      <c r="B16" s="219" t="s">
        <v>344</v>
      </c>
    </row>
    <row r="17" spans="2:2" ht="33" x14ac:dyDescent="0.25">
      <c r="B17" s="219" t="s">
        <v>337</v>
      </c>
    </row>
    <row r="18" spans="2:2" ht="132" x14ac:dyDescent="0.25">
      <c r="B18" s="219" t="s">
        <v>373</v>
      </c>
    </row>
    <row r="19" spans="2:2" ht="82.5" x14ac:dyDescent="0.25">
      <c r="B19" s="219" t="s">
        <v>194</v>
      </c>
    </row>
    <row r="20" spans="2:2" ht="66" x14ac:dyDescent="0.25">
      <c r="B20" s="219" t="s">
        <v>195</v>
      </c>
    </row>
    <row r="21" spans="2:2" ht="115.5" x14ac:dyDescent="0.25">
      <c r="B21" s="267" t="s">
        <v>374</v>
      </c>
    </row>
    <row r="22" spans="2:2" ht="82.5" x14ac:dyDescent="0.25">
      <c r="B22" s="295" t="s">
        <v>341</v>
      </c>
    </row>
    <row r="24" spans="2:2" x14ac:dyDescent="0.25">
      <c r="B24" s="294"/>
    </row>
    <row r="25" spans="2:2" ht="148.5" x14ac:dyDescent="0.25">
      <c r="B25" s="219" t="s">
        <v>375</v>
      </c>
    </row>
    <row r="26" spans="2:2" x14ac:dyDescent="0.25">
      <c r="B26" s="219"/>
    </row>
    <row r="27" spans="2:2" x14ac:dyDescent="0.25">
      <c r="B27" s="220" t="s">
        <v>345</v>
      </c>
    </row>
    <row r="28" spans="2:2" ht="33" x14ac:dyDescent="0.25">
      <c r="B28" s="216" t="s">
        <v>329</v>
      </c>
    </row>
    <row r="29" spans="2:2" x14ac:dyDescent="0.25">
      <c r="B29" s="216" t="s">
        <v>370</v>
      </c>
    </row>
    <row r="30" spans="2:2" x14ac:dyDescent="0.25">
      <c r="B30" s="216"/>
    </row>
    <row r="31" spans="2:2" ht="33" x14ac:dyDescent="0.25">
      <c r="B31" s="216" t="s">
        <v>371</v>
      </c>
    </row>
    <row r="32" spans="2:2" x14ac:dyDescent="0.25">
      <c r="B32" s="216" t="s">
        <v>294</v>
      </c>
    </row>
    <row r="33" spans="2:2" x14ac:dyDescent="0.25">
      <c r="B33" s="216"/>
    </row>
    <row r="34" spans="2:2" ht="33" x14ac:dyDescent="0.25">
      <c r="B34" s="216" t="s">
        <v>306</v>
      </c>
    </row>
    <row r="35" spans="2:2" x14ac:dyDescent="0.25">
      <c r="B35" s="216"/>
    </row>
    <row r="36" spans="2:2" ht="82.5" x14ac:dyDescent="0.25">
      <c r="B36" s="216" t="s">
        <v>376</v>
      </c>
    </row>
    <row r="37" spans="2:2" x14ac:dyDescent="0.25">
      <c r="B37" s="216"/>
    </row>
    <row r="38" spans="2:2" x14ac:dyDescent="0.25">
      <c r="B38" s="220" t="s">
        <v>288</v>
      </c>
    </row>
    <row r="39" spans="2:2" x14ac:dyDescent="0.25">
      <c r="B39" s="216" t="s">
        <v>289</v>
      </c>
    </row>
    <row r="40" spans="2:2" x14ac:dyDescent="0.25">
      <c r="B40" s="216"/>
    </row>
    <row r="41" spans="2:2" ht="33" x14ac:dyDescent="0.25">
      <c r="B41" s="216" t="s">
        <v>290</v>
      </c>
    </row>
    <row r="42" spans="2:2" x14ac:dyDescent="0.25">
      <c r="B42" s="216"/>
    </row>
    <row r="43" spans="2:2" ht="49.5" x14ac:dyDescent="0.25">
      <c r="B43" s="216" t="s">
        <v>291</v>
      </c>
    </row>
    <row r="46" spans="2:2" x14ac:dyDescent="0.25">
      <c r="B46" s="220" t="s">
        <v>138</v>
      </c>
    </row>
    <row r="47" spans="2:2" ht="82.5" x14ac:dyDescent="0.25">
      <c r="B47" s="216" t="s">
        <v>357</v>
      </c>
    </row>
    <row r="48" spans="2:2" x14ac:dyDescent="0.25">
      <c r="B48" s="216"/>
    </row>
    <row r="49" spans="2:2" x14ac:dyDescent="0.25">
      <c r="B49" s="220" t="s">
        <v>139</v>
      </c>
    </row>
    <row r="50" spans="2:2" ht="66" x14ac:dyDescent="0.25">
      <c r="B50" s="216" t="s">
        <v>140</v>
      </c>
    </row>
    <row r="52" spans="2:2" x14ac:dyDescent="0.25">
      <c r="B52" s="220" t="s">
        <v>292</v>
      </c>
    </row>
    <row r="53" spans="2:2" ht="247.5" x14ac:dyDescent="0.25">
      <c r="B53" s="216" t="s">
        <v>293</v>
      </c>
    </row>
  </sheetData>
  <pageMargins left="0.25" right="0.25" top="0.75" bottom="0.75" header="0.3" footer="0.3"/>
  <pageSetup scale="24" orientation="landscape" r:id="rId1"/>
  <rowBreaks count="1" manualBreakCount="1">
    <brk id="16" min="1" max="1" man="1"/>
  </rowBreaks>
  <colBreaks count="1" manualBreakCount="1">
    <brk id="2" max="3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0079FF"/>
  </sheetPr>
  <dimension ref="A1:A12"/>
  <sheetViews>
    <sheetView zoomScale="65" zoomScaleNormal="65" workbookViewId="0"/>
  </sheetViews>
  <sheetFormatPr defaultColWidth="9.140625" defaultRowHeight="19.5" x14ac:dyDescent="0.3"/>
  <cols>
    <col min="1" max="1" width="65" style="236" bestFit="1" customWidth="1"/>
    <col min="2" max="16384" width="9.140625" style="236"/>
  </cols>
  <sheetData>
    <row r="1" spans="1:1" x14ac:dyDescent="0.3">
      <c r="A1" s="235" t="s">
        <v>271</v>
      </c>
    </row>
    <row r="3" spans="1:1" x14ac:dyDescent="0.3">
      <c r="A3" s="237" t="s">
        <v>272</v>
      </c>
    </row>
    <row r="4" spans="1:1" x14ac:dyDescent="0.3">
      <c r="A4" s="238" t="s">
        <v>261</v>
      </c>
    </row>
    <row r="5" spans="1:1" x14ac:dyDescent="0.3">
      <c r="A5" s="238" t="s">
        <v>88</v>
      </c>
    </row>
    <row r="6" spans="1:1" x14ac:dyDescent="0.3">
      <c r="A6" s="238" t="s">
        <v>264</v>
      </c>
    </row>
    <row r="7" spans="1:1" x14ac:dyDescent="0.3">
      <c r="A7" s="238" t="s">
        <v>269</v>
      </c>
    </row>
    <row r="8" spans="1:1" x14ac:dyDescent="0.3">
      <c r="A8" s="238" t="s">
        <v>265</v>
      </c>
    </row>
    <row r="9" spans="1:1" x14ac:dyDescent="0.3">
      <c r="A9" s="238" t="s">
        <v>270</v>
      </c>
    </row>
    <row r="10" spans="1:1" x14ac:dyDescent="0.3">
      <c r="A10" s="238" t="s">
        <v>263</v>
      </c>
    </row>
    <row r="11" spans="1:1" x14ac:dyDescent="0.3">
      <c r="A11" s="238" t="s">
        <v>161</v>
      </c>
    </row>
    <row r="12" spans="1:1" x14ac:dyDescent="0.3">
      <c r="A12" s="238" t="s">
        <v>133</v>
      </c>
    </row>
  </sheetData>
  <hyperlinks>
    <hyperlink ref="A4" location="'CES Summary Metrics'!A1" display="Summary Metrics" xr:uid="{00000000-0004-0000-0C00-000000000000}"/>
    <hyperlink ref="A5" location="'CES Revenue Metrics'!Print_Area" display="Revenue Metrics" xr:uid="{00000000-0004-0000-0C00-000001000000}"/>
    <hyperlink ref="A6" location="'CES Constant Currency'!Print_Area" display="Constant Currency" xr:uid="{00000000-0004-0000-0C00-000002000000}"/>
    <hyperlink ref="A7" location="'CES Cloud Metrics'!Print_Area" display="Cloud Metrics" xr:uid="{00000000-0004-0000-0C00-000003000000}"/>
    <hyperlink ref="A8" location="'CES Operating Expenses'!Print_Area" display="Operating Expenses" xr:uid="{00000000-0004-0000-0C00-000004000000}"/>
    <hyperlink ref="A9" location="'CES Gross Profit'!Print_Area" display="Gross Profit " xr:uid="{00000000-0004-0000-0C00-000005000000}"/>
    <hyperlink ref="A10" location="'CES Operating &amp; EBITDA Margins'!Print_Area" display="Operating &amp; EBITDA Margins" xr:uid="{00000000-0004-0000-0C00-000006000000}"/>
    <hyperlink ref="A11" location="'CES Footnotes'!A1" display="Footnotes" xr:uid="{00000000-0004-0000-0C00-000007000000}"/>
    <hyperlink ref="A12" location="'CES Suppl. Info NG Measures'!Print_Area" display="Supplemental Information About Non-GAAP Financial Measures" xr:uid="{00000000-0004-0000-0C00-000008000000}"/>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0079FF"/>
    <pageSetUpPr fitToPage="1"/>
  </sheetPr>
  <dimension ref="A1:AY53"/>
  <sheetViews>
    <sheetView zoomScale="70" zoomScaleNormal="70" zoomScaleSheetLayoutView="85" workbookViewId="0">
      <pane xSplit="3" ySplit="5" topLeftCell="D6" activePane="bottomRight" state="frozen"/>
      <selection activeCell="B2" sqref="B2"/>
      <selection pane="topRight" activeCell="B2" sqref="B2"/>
      <selection pane="bottomLeft" activeCell="B2" sqref="B2"/>
      <selection pane="bottomRight" activeCell="D6" sqref="D6"/>
    </sheetView>
  </sheetViews>
  <sheetFormatPr defaultColWidth="9.140625" defaultRowHeight="14.25" outlineLevelRow="1" outlineLevelCol="2" x14ac:dyDescent="0.2"/>
  <cols>
    <col min="1" max="1" width="11.5703125" style="24" customWidth="1"/>
    <col min="2" max="2" width="100.28515625" style="24" customWidth="1"/>
    <col min="3" max="3" width="1.7109375" style="24" customWidth="1"/>
    <col min="4" max="5" width="15.7109375" style="24" customWidth="1" outlineLevel="1"/>
    <col min="6" max="6" width="1.7109375" style="24" customWidth="1" outlineLevel="1"/>
    <col min="7" max="8" width="15.7109375" style="24" customWidth="1" outlineLevel="1"/>
    <col min="9" max="9" width="1.7109375" style="24" customWidth="1" outlineLevel="1"/>
    <col min="10" max="17" width="15.7109375" style="24" hidden="1" customWidth="1" outlineLevel="2"/>
    <col min="18" max="18" width="1.7109375" style="24" hidden="1" customWidth="1" outlineLevel="2"/>
    <col min="19" max="19" width="15.7109375" style="24" customWidth="1" outlineLevel="1" collapsed="1"/>
    <col min="20" max="20" width="15.7109375" style="24" customWidth="1" outlineLevel="1"/>
    <col min="21" max="21" width="1.7109375" style="24" customWidth="1"/>
    <col min="22" max="22" width="15.7109375" style="24" hidden="1" customWidth="1" outlineLevel="1"/>
    <col min="23" max="23" width="17.5703125" style="24" hidden="1" customWidth="1" outlineLevel="1"/>
    <col min="24" max="24" width="15.7109375" style="24" hidden="1" customWidth="1" outlineLevel="1"/>
    <col min="25" max="25" width="18.140625" style="24" hidden="1" customWidth="1" outlineLevel="1"/>
    <col min="26" max="26" width="15.7109375" style="24" hidden="1" customWidth="1" outlineLevel="1"/>
    <col min="27" max="27" width="17.85546875" style="24" hidden="1" customWidth="1" outlineLevel="1"/>
    <col min="28" max="28" width="15.7109375" style="24" hidden="1" customWidth="1" outlineLevel="1"/>
    <col min="29" max="29" width="17.85546875" style="24" hidden="1" customWidth="1" outlineLevel="1"/>
    <col min="30" max="30" width="1.7109375" style="24" hidden="1" customWidth="1" outlineLevel="1"/>
    <col min="31" max="31" width="15.7109375" style="24" customWidth="1" collapsed="1"/>
    <col min="32" max="32" width="15.7109375" style="24" customWidth="1"/>
    <col min="33" max="33" width="1.7109375" style="24" customWidth="1"/>
    <col min="34" max="34" width="15.7109375" style="24" customWidth="1"/>
    <col min="35" max="35" width="17.85546875" style="24" customWidth="1"/>
    <col min="36" max="36" width="15.7109375" style="24" customWidth="1"/>
    <col min="37" max="37" width="17.85546875" style="24" customWidth="1"/>
    <col min="38" max="38" width="15.7109375" style="24" customWidth="1"/>
    <col min="39" max="41" width="17.85546875" style="24" customWidth="1"/>
    <col min="42" max="42" width="1.7109375" style="24" customWidth="1"/>
    <col min="43" max="44" width="15.7109375" style="24" customWidth="1"/>
    <col min="45" max="45" width="1.7109375" style="24" customWidth="1"/>
    <col min="46" max="46" width="45.85546875" style="24" bestFit="1" customWidth="1"/>
    <col min="47" max="16384" width="9.140625" style="24"/>
  </cols>
  <sheetData>
    <row r="1" spans="1:51" ht="18" x14ac:dyDescent="0.25">
      <c r="A1" s="198" t="s">
        <v>196</v>
      </c>
      <c r="B1" s="45"/>
    </row>
    <row r="2" spans="1:51" ht="15" thickBot="1" x14ac:dyDescent="0.25"/>
    <row r="3" spans="1:51" s="247" customFormat="1" ht="15" customHeight="1" x14ac:dyDescent="0.25">
      <c r="A3" s="346" t="s">
        <v>84</v>
      </c>
      <c r="B3" s="347"/>
      <c r="D3" s="335" t="s">
        <v>99</v>
      </c>
      <c r="E3" s="336"/>
      <c r="G3" s="335" t="s">
        <v>99</v>
      </c>
      <c r="H3" s="336"/>
      <c r="I3" s="248"/>
      <c r="J3" s="339" t="s">
        <v>1</v>
      </c>
      <c r="K3" s="340"/>
      <c r="L3" s="340"/>
      <c r="M3" s="340"/>
      <c r="N3" s="340"/>
      <c r="O3" s="340"/>
      <c r="P3" s="340"/>
      <c r="Q3" s="341"/>
      <c r="S3" s="335" t="s">
        <v>99</v>
      </c>
      <c r="T3" s="336"/>
      <c r="V3" s="339" t="s">
        <v>1</v>
      </c>
      <c r="W3" s="340"/>
      <c r="X3" s="340"/>
      <c r="Y3" s="340"/>
      <c r="Z3" s="340"/>
      <c r="AA3" s="340"/>
      <c r="AB3" s="340"/>
      <c r="AC3" s="341"/>
      <c r="AE3" s="335" t="s">
        <v>99</v>
      </c>
      <c r="AF3" s="336"/>
      <c r="AH3" s="339" t="s">
        <v>328</v>
      </c>
      <c r="AI3" s="340"/>
      <c r="AJ3" s="340"/>
      <c r="AK3" s="340"/>
      <c r="AL3" s="340"/>
      <c r="AM3" s="340"/>
      <c r="AN3" s="340"/>
      <c r="AO3" s="341"/>
      <c r="AQ3" s="335" t="s">
        <v>99</v>
      </c>
      <c r="AR3" s="336"/>
      <c r="AT3" s="332" t="s">
        <v>85</v>
      </c>
    </row>
    <row r="4" spans="1:51" s="247" customFormat="1" ht="18.75" customHeight="1" thickBot="1" x14ac:dyDescent="0.3">
      <c r="A4" s="365"/>
      <c r="B4" s="366"/>
      <c r="D4" s="337">
        <v>42766</v>
      </c>
      <c r="E4" s="338"/>
      <c r="G4" s="337">
        <v>43131</v>
      </c>
      <c r="H4" s="338"/>
      <c r="I4" s="248"/>
      <c r="J4" s="342">
        <v>43220</v>
      </c>
      <c r="K4" s="343"/>
      <c r="L4" s="324">
        <v>43312</v>
      </c>
      <c r="M4" s="343"/>
      <c r="N4" s="324">
        <v>43404</v>
      </c>
      <c r="O4" s="343"/>
      <c r="P4" s="324">
        <v>43496</v>
      </c>
      <c r="Q4" s="325"/>
      <c r="S4" s="337" t="s">
        <v>100</v>
      </c>
      <c r="T4" s="338"/>
      <c r="V4" s="367">
        <v>43585</v>
      </c>
      <c r="W4" s="368"/>
      <c r="X4" s="355">
        <v>43677</v>
      </c>
      <c r="Y4" s="356"/>
      <c r="Z4" s="355">
        <v>43769</v>
      </c>
      <c r="AA4" s="372"/>
      <c r="AB4" s="355">
        <v>43861</v>
      </c>
      <c r="AC4" s="372"/>
      <c r="AE4" s="337">
        <v>43861</v>
      </c>
      <c r="AF4" s="338"/>
      <c r="AH4" s="355">
        <v>43951</v>
      </c>
      <c r="AI4" s="372"/>
      <c r="AJ4" s="355">
        <v>44043</v>
      </c>
      <c r="AK4" s="372"/>
      <c r="AL4" s="355">
        <v>44135</v>
      </c>
      <c r="AM4" s="372"/>
      <c r="AN4" s="355">
        <v>44227</v>
      </c>
      <c r="AO4" s="372"/>
      <c r="AQ4" s="337">
        <v>44227</v>
      </c>
      <c r="AR4" s="338"/>
      <c r="AT4" s="333"/>
    </row>
    <row r="5" spans="1:51" s="247" customFormat="1" ht="42" customHeight="1" thickBot="1" x14ac:dyDescent="0.3">
      <c r="A5" s="357" t="s">
        <v>0</v>
      </c>
      <c r="B5" s="358"/>
      <c r="D5" s="40" t="s">
        <v>86</v>
      </c>
      <c r="E5" s="233" t="s">
        <v>256</v>
      </c>
      <c r="G5" s="40" t="s">
        <v>86</v>
      </c>
      <c r="H5" s="233" t="s">
        <v>256</v>
      </c>
      <c r="I5" s="248"/>
      <c r="J5" s="41" t="s">
        <v>86</v>
      </c>
      <c r="K5" s="233" t="s">
        <v>256</v>
      </c>
      <c r="L5" s="42" t="s">
        <v>86</v>
      </c>
      <c r="M5" s="233" t="s">
        <v>256</v>
      </c>
      <c r="N5" s="42" t="s">
        <v>86</v>
      </c>
      <c r="O5" s="233" t="s">
        <v>256</v>
      </c>
      <c r="P5" s="42" t="s">
        <v>86</v>
      </c>
      <c r="Q5" s="233" t="s">
        <v>256</v>
      </c>
      <c r="S5" s="40" t="s">
        <v>86</v>
      </c>
      <c r="T5" s="233" t="s">
        <v>256</v>
      </c>
      <c r="V5" s="246" t="s">
        <v>86</v>
      </c>
      <c r="W5" s="249" t="s">
        <v>256</v>
      </c>
      <c r="X5" s="246" t="s">
        <v>86</v>
      </c>
      <c r="Y5" s="249" t="s">
        <v>256</v>
      </c>
      <c r="Z5" s="42" t="s">
        <v>86</v>
      </c>
      <c r="AA5" s="249" t="s">
        <v>256</v>
      </c>
      <c r="AB5" s="42" t="s">
        <v>86</v>
      </c>
      <c r="AC5" s="249" t="s">
        <v>256</v>
      </c>
      <c r="AE5" s="40" t="s">
        <v>86</v>
      </c>
      <c r="AF5" s="233" t="s">
        <v>256</v>
      </c>
      <c r="AH5" s="42" t="s">
        <v>86</v>
      </c>
      <c r="AI5" s="249" t="s">
        <v>256</v>
      </c>
      <c r="AJ5" s="42" t="s">
        <v>86</v>
      </c>
      <c r="AK5" s="249" t="s">
        <v>256</v>
      </c>
      <c r="AL5" s="42" t="s">
        <v>86</v>
      </c>
      <c r="AM5" s="249" t="s">
        <v>256</v>
      </c>
      <c r="AN5" s="42" t="s">
        <v>86</v>
      </c>
      <c r="AO5" s="249" t="s">
        <v>256</v>
      </c>
      <c r="AQ5" s="40" t="s">
        <v>86</v>
      </c>
      <c r="AR5" s="233" t="s">
        <v>256</v>
      </c>
      <c r="AT5" s="334"/>
    </row>
    <row r="6" spans="1:51" ht="17.25" thickBot="1" x14ac:dyDescent="0.25">
      <c r="A6" s="349" t="s">
        <v>356</v>
      </c>
      <c r="B6" s="268" t="s">
        <v>89</v>
      </c>
      <c r="D6" s="270">
        <f>+D7+D8</f>
        <v>398.08699999999999</v>
      </c>
      <c r="E6" s="270">
        <f>+E7+E8</f>
        <v>407.83799999999997</v>
      </c>
      <c r="G6" s="270">
        <f>+G7+G8</f>
        <v>425.66300000000001</v>
      </c>
      <c r="H6" s="270">
        <f>+H7+H8</f>
        <v>440.56299999999999</v>
      </c>
      <c r="J6" s="270">
        <f t="shared" ref="J6:Q6" si="0">+J7+J8</f>
        <v>107.825</v>
      </c>
      <c r="K6" s="270">
        <f t="shared" si="0"/>
        <v>110.46</v>
      </c>
      <c r="L6" s="270">
        <f t="shared" si="0"/>
        <v>117.69999999999999</v>
      </c>
      <c r="M6" s="270">
        <f t="shared" si="0"/>
        <v>119.88</v>
      </c>
      <c r="N6" s="270">
        <f t="shared" si="0"/>
        <v>116.9</v>
      </c>
      <c r="O6" s="270">
        <f t="shared" si="0"/>
        <v>120.88</v>
      </c>
      <c r="P6" s="270">
        <f t="shared" si="0"/>
        <v>123.125</v>
      </c>
      <c r="Q6" s="270">
        <f t="shared" si="0"/>
        <v>129.4</v>
      </c>
      <c r="S6" s="270">
        <f>+S7+S8</f>
        <v>465.66800000000001</v>
      </c>
      <c r="T6" s="270">
        <f>+T7+T8</f>
        <v>480.72800000000001</v>
      </c>
      <c r="V6" s="270">
        <f t="shared" ref="V6:AC6" si="1">+V7+V8</f>
        <v>123.38399999999999</v>
      </c>
      <c r="W6" s="270">
        <f t="shared" si="1"/>
        <v>132.13</v>
      </c>
      <c r="X6" s="270">
        <f t="shared" si="1"/>
        <v>129.31399999999999</v>
      </c>
      <c r="Y6" s="270">
        <f t="shared" si="1"/>
        <v>136.32</v>
      </c>
      <c r="Z6" s="270">
        <f t="shared" si="1"/>
        <v>141.37799999999999</v>
      </c>
      <c r="AA6" s="270">
        <f t="shared" si="1"/>
        <v>147.59100000000001</v>
      </c>
      <c r="AB6" s="270">
        <f t="shared" si="1"/>
        <v>140.31</v>
      </c>
      <c r="AC6" s="270">
        <f t="shared" si="1"/>
        <v>145.012</v>
      </c>
      <c r="AE6" s="270">
        <f>+AE7+AE8</f>
        <v>534.38599999999997</v>
      </c>
      <c r="AF6" s="270">
        <f>+AF7+AF8</f>
        <v>561.053</v>
      </c>
      <c r="AH6" s="270">
        <f t="shared" ref="AH6:AO6" si="2">+AH7+AH8</f>
        <v>129.07</v>
      </c>
      <c r="AI6" s="270">
        <f t="shared" si="2"/>
        <v>132.33199999999999</v>
      </c>
      <c r="AJ6" s="270">
        <f t="shared" si="2"/>
        <v>139.267</v>
      </c>
      <c r="AK6" s="270">
        <f t="shared" si="2"/>
        <v>142.333</v>
      </c>
      <c r="AL6" s="270">
        <f t="shared" si="2"/>
        <v>150.233</v>
      </c>
      <c r="AM6" s="270">
        <f t="shared" si="2"/>
        <v>152.45999999999998</v>
      </c>
      <c r="AN6" s="270">
        <f t="shared" si="2"/>
        <v>157.05399999999997</v>
      </c>
      <c r="AO6" s="270">
        <f t="shared" si="2"/>
        <v>158.83499999999998</v>
      </c>
      <c r="AQ6" s="270">
        <f>+AQ7+AQ8</f>
        <v>575.62400000000002</v>
      </c>
      <c r="AR6" s="270">
        <f>+AR7+AR8</f>
        <v>585.96</v>
      </c>
      <c r="AS6" s="269"/>
      <c r="AT6" s="373"/>
      <c r="AU6" s="269"/>
      <c r="AV6" s="269"/>
      <c r="AW6" s="269"/>
      <c r="AX6" s="269"/>
      <c r="AY6" s="269"/>
    </row>
    <row r="7" spans="1:51" ht="17.25" thickBot="1" x14ac:dyDescent="0.25">
      <c r="A7" s="349"/>
      <c r="B7" s="268" t="s">
        <v>251</v>
      </c>
      <c r="C7" s="269"/>
      <c r="D7" s="270">
        <f>+'CES Revenue Metrics'!B8</f>
        <v>95.36699999999999</v>
      </c>
      <c r="E7" s="270">
        <f>+'CES Revenue Metrics'!B24</f>
        <v>104.20099999999999</v>
      </c>
      <c r="F7" s="269"/>
      <c r="G7" s="270">
        <f>+'CES Revenue Metrics'!C8</f>
        <v>122.1</v>
      </c>
      <c r="H7" s="270">
        <f>+'CES Revenue Metrics'!C24</f>
        <v>135</v>
      </c>
      <c r="I7" s="269"/>
      <c r="J7" s="270">
        <f>+'CES Revenue Metrics'!E8</f>
        <v>33.090220000000002</v>
      </c>
      <c r="K7" s="270">
        <f>+'CES Revenue Metrics'!E24</f>
        <v>35.550219999999996</v>
      </c>
      <c r="L7" s="270">
        <f>+'CES Revenue Metrics'!F8</f>
        <v>36.910792999999998</v>
      </c>
      <c r="M7" s="270">
        <f>+'CES Revenue Metrics'!F24</f>
        <v>38.990792999999996</v>
      </c>
      <c r="N7" s="270">
        <f>+'CES Revenue Metrics'!G8</f>
        <v>38.086092999999998</v>
      </c>
      <c r="O7" s="270">
        <f>+'CES Revenue Metrics'!G24</f>
        <v>42.066093000000002</v>
      </c>
      <c r="P7" s="270">
        <f>+'CES Revenue Metrics'!H8</f>
        <v>44.345051999999995</v>
      </c>
      <c r="Q7" s="270">
        <f>+'CES Revenue Metrics'!H24</f>
        <v>50.520052</v>
      </c>
      <c r="R7" s="269"/>
      <c r="S7" s="270">
        <f>+'CES Revenue Metrics'!J8</f>
        <v>152.55015800000001</v>
      </c>
      <c r="T7" s="270">
        <f>+'CES Revenue Metrics'!J24</f>
        <v>167.23515800000001</v>
      </c>
      <c r="U7" s="269"/>
      <c r="V7" s="270">
        <f>+'CES Revenue Metrics'!L8</f>
        <v>47.800999999999995</v>
      </c>
      <c r="W7" s="270">
        <f>+'CES Revenue Metrics'!L24</f>
        <v>56.445</v>
      </c>
      <c r="X7" s="270">
        <f>+'CES Revenue Metrics'!M8</f>
        <v>48.908999999999999</v>
      </c>
      <c r="Y7" s="270">
        <f>+'CES Revenue Metrics'!M24</f>
        <v>55.826999999999998</v>
      </c>
      <c r="Z7" s="270">
        <f>+'CES Revenue Metrics'!N8</f>
        <v>62.533000000000001</v>
      </c>
      <c r="AA7" s="270">
        <f>+'CES Revenue Metrics'!N24</f>
        <v>68.680000000000007</v>
      </c>
      <c r="AB7" s="270">
        <f>+'CES Revenue Metrics'!O8</f>
        <v>61.233999999999995</v>
      </c>
      <c r="AC7" s="270">
        <f>+'CES Revenue Metrics'!O24</f>
        <v>65.870999999999995</v>
      </c>
      <c r="AD7" s="269"/>
      <c r="AE7" s="270">
        <f>+'CES Revenue Metrics'!Q8</f>
        <v>220.47699999999998</v>
      </c>
      <c r="AF7" s="270">
        <f>+'CES Revenue Metrics'!Q24</f>
        <v>246.82299999999998</v>
      </c>
      <c r="AG7" s="269"/>
      <c r="AH7" s="270">
        <f>+'CES Revenue Metrics'!S8</f>
        <v>55.02</v>
      </c>
      <c r="AI7" s="270">
        <f>+'CES Revenue Metrics'!S24</f>
        <v>58.227000000000004</v>
      </c>
      <c r="AJ7" s="270">
        <f>+'CES Revenue Metrics'!T8</f>
        <v>62.557000000000002</v>
      </c>
      <c r="AK7" s="270">
        <f>+'CES Revenue Metrics'!T24</f>
        <v>65.575000000000003</v>
      </c>
      <c r="AL7" s="270">
        <f>+'CES Revenue Metrics'!U8</f>
        <v>73.867999999999995</v>
      </c>
      <c r="AM7" s="270">
        <f>+'CES Revenue Metrics'!U24</f>
        <v>76.033999999999992</v>
      </c>
      <c r="AN7" s="270">
        <f>+'CES Revenue Metrics'!V8</f>
        <v>85.965999999999994</v>
      </c>
      <c r="AO7" s="270">
        <f>+'CES Revenue Metrics'!V24</f>
        <v>87.738</v>
      </c>
      <c r="AP7" s="269"/>
      <c r="AQ7" s="270">
        <f>+'CES Revenue Metrics'!X8</f>
        <v>277.411</v>
      </c>
      <c r="AR7" s="270">
        <f>+'CES Revenue Metrics'!X24</f>
        <v>287.57400000000001</v>
      </c>
      <c r="AS7" s="269"/>
      <c r="AT7" s="373"/>
      <c r="AU7" s="269"/>
      <c r="AV7" s="269"/>
      <c r="AW7" s="269"/>
      <c r="AX7" s="269"/>
      <c r="AY7" s="269"/>
    </row>
    <row r="8" spans="1:51" ht="17.25" thickBot="1" x14ac:dyDescent="0.25">
      <c r="A8" s="349"/>
      <c r="B8" s="268" t="s">
        <v>253</v>
      </c>
      <c r="C8" s="269"/>
      <c r="D8" s="270">
        <f>+'CES Revenue Metrics'!B9</f>
        <v>302.72000000000003</v>
      </c>
      <c r="E8" s="270">
        <f>+'CES Revenue Metrics'!B25</f>
        <v>303.637</v>
      </c>
      <c r="F8" s="269"/>
      <c r="G8" s="270">
        <f>+'CES Revenue Metrics'!C9</f>
        <v>303.56299999999999</v>
      </c>
      <c r="H8" s="270">
        <f>+'CES Revenue Metrics'!C25</f>
        <v>305.56299999999999</v>
      </c>
      <c r="I8" s="269"/>
      <c r="J8" s="270">
        <f>+'CES Revenue Metrics'!E9</f>
        <v>74.734780000000001</v>
      </c>
      <c r="K8" s="270">
        <f>+'CES Revenue Metrics'!E25</f>
        <v>74.909779999999998</v>
      </c>
      <c r="L8" s="270">
        <f>+'CES Revenue Metrics'!F9</f>
        <v>80.78920699999999</v>
      </c>
      <c r="M8" s="270">
        <f>+'CES Revenue Metrics'!F25</f>
        <v>80.889206999999999</v>
      </c>
      <c r="N8" s="270">
        <f>+'CES Revenue Metrics'!G9</f>
        <v>78.813907</v>
      </c>
      <c r="O8" s="270">
        <f>+'CES Revenue Metrics'!G25</f>
        <v>78.813907</v>
      </c>
      <c r="P8" s="270">
        <f>+'CES Revenue Metrics'!H9</f>
        <v>78.779948000000005</v>
      </c>
      <c r="Q8" s="270">
        <f>+'CES Revenue Metrics'!H25</f>
        <v>78.879947999999999</v>
      </c>
      <c r="R8" s="269"/>
      <c r="S8" s="270">
        <f>+'CES Revenue Metrics'!J9</f>
        <v>313.117842</v>
      </c>
      <c r="T8" s="270">
        <f>+'CES Revenue Metrics'!J25</f>
        <v>313.492842</v>
      </c>
      <c r="U8" s="269"/>
      <c r="V8" s="270">
        <f>+'CES Revenue Metrics'!L9</f>
        <v>75.582999999999998</v>
      </c>
      <c r="W8" s="270">
        <f>+'CES Revenue Metrics'!L25</f>
        <v>75.685000000000002</v>
      </c>
      <c r="X8" s="270">
        <f>+'CES Revenue Metrics'!M9</f>
        <v>80.405000000000001</v>
      </c>
      <c r="Y8" s="270">
        <f>+'CES Revenue Metrics'!M25</f>
        <v>80.492999999999995</v>
      </c>
      <c r="Z8" s="270">
        <f>+'CES Revenue Metrics'!N9</f>
        <v>78.844999999999999</v>
      </c>
      <c r="AA8" s="270">
        <f>+'CES Revenue Metrics'!N25</f>
        <v>78.911000000000001</v>
      </c>
      <c r="AB8" s="270">
        <f>+'CES Revenue Metrics'!O9</f>
        <v>79.076000000000008</v>
      </c>
      <c r="AC8" s="270">
        <f>+'CES Revenue Metrics'!O25</f>
        <v>79.141000000000005</v>
      </c>
      <c r="AD8" s="269"/>
      <c r="AE8" s="270">
        <f>+'CES Revenue Metrics'!Q9</f>
        <v>313.90899999999999</v>
      </c>
      <c r="AF8" s="270">
        <f>+'CES Revenue Metrics'!Q25</f>
        <v>314.23</v>
      </c>
      <c r="AG8" s="269"/>
      <c r="AH8" s="270">
        <f>+'CES Revenue Metrics'!S9</f>
        <v>74.05</v>
      </c>
      <c r="AI8" s="270">
        <f>+'CES Revenue Metrics'!S25</f>
        <v>74.105000000000004</v>
      </c>
      <c r="AJ8" s="270">
        <f>+'CES Revenue Metrics'!T9</f>
        <v>76.709999999999994</v>
      </c>
      <c r="AK8" s="270">
        <f>+'CES Revenue Metrics'!T25</f>
        <v>76.757999999999996</v>
      </c>
      <c r="AL8" s="270">
        <f>+'CES Revenue Metrics'!U9</f>
        <v>76.364999999999995</v>
      </c>
      <c r="AM8" s="270">
        <f>+'CES Revenue Metrics'!U25</f>
        <v>76.426000000000002</v>
      </c>
      <c r="AN8" s="270">
        <f>+'CES Revenue Metrics'!V9</f>
        <v>71.087999999999994</v>
      </c>
      <c r="AO8" s="270">
        <f>+'CES Revenue Metrics'!V25</f>
        <v>71.096999999999994</v>
      </c>
      <c r="AP8" s="269"/>
      <c r="AQ8" s="270">
        <f>+'CES Revenue Metrics'!X9</f>
        <v>298.21299999999997</v>
      </c>
      <c r="AR8" s="270">
        <f>+'CES Revenue Metrics'!X25</f>
        <v>298.38599999999997</v>
      </c>
      <c r="AS8" s="269"/>
      <c r="AT8" s="373"/>
      <c r="AU8" s="269"/>
      <c r="AV8" s="269"/>
      <c r="AW8" s="269"/>
      <c r="AX8" s="269"/>
      <c r="AY8" s="269"/>
    </row>
    <row r="9" spans="1:51" ht="17.25" thickBot="1" x14ac:dyDescent="0.25">
      <c r="A9" s="349"/>
      <c r="B9" s="268" t="s">
        <v>90</v>
      </c>
      <c r="C9" s="269"/>
      <c r="D9" s="270">
        <f>+D10+D11</f>
        <v>307.80799999999999</v>
      </c>
      <c r="E9" s="270">
        <f>+E10+E11</f>
        <v>308.32299999999998</v>
      </c>
      <c r="F9" s="269"/>
      <c r="G9" s="270">
        <f>+G10+G11</f>
        <v>314.41199999999998</v>
      </c>
      <c r="H9" s="270">
        <f>+H10+H11</f>
        <v>314.41199999999998</v>
      </c>
      <c r="I9" s="269"/>
      <c r="J9" s="270">
        <f t="shared" ref="J9:Q9" si="3">+J10+J11</f>
        <v>78.699999999999989</v>
      </c>
      <c r="K9" s="270">
        <f t="shared" si="3"/>
        <v>78.699999999999989</v>
      </c>
      <c r="L9" s="270">
        <f t="shared" si="3"/>
        <v>83.1</v>
      </c>
      <c r="M9" s="270">
        <f t="shared" si="3"/>
        <v>83.1</v>
      </c>
      <c r="N9" s="270">
        <f t="shared" si="3"/>
        <v>80.599999999999994</v>
      </c>
      <c r="O9" s="270">
        <f t="shared" si="3"/>
        <v>80.599999999999994</v>
      </c>
      <c r="P9" s="270">
        <f t="shared" si="3"/>
        <v>88.4</v>
      </c>
      <c r="Q9" s="270">
        <f t="shared" si="3"/>
        <v>88.4</v>
      </c>
      <c r="R9" s="269"/>
      <c r="S9" s="270">
        <f>+S10+S11</f>
        <v>330.6</v>
      </c>
      <c r="T9" s="270">
        <f>+T10+T11</f>
        <v>330.6</v>
      </c>
      <c r="U9" s="269"/>
      <c r="V9" s="270">
        <f t="shared" ref="V9:AC9" si="4">+V10+V11</f>
        <v>83.734999999999999</v>
      </c>
      <c r="W9" s="270">
        <f t="shared" si="4"/>
        <v>83.734999999999999</v>
      </c>
      <c r="X9" s="270">
        <f t="shared" si="4"/>
        <v>82.1</v>
      </c>
      <c r="Y9" s="270">
        <f t="shared" si="4"/>
        <v>82.1</v>
      </c>
      <c r="Z9" s="270">
        <f t="shared" si="4"/>
        <v>76.557999999999993</v>
      </c>
      <c r="AA9" s="270">
        <f t="shared" si="4"/>
        <v>76.557999999999993</v>
      </c>
      <c r="AB9" s="270">
        <f t="shared" si="4"/>
        <v>69.748000000000005</v>
      </c>
      <c r="AC9" s="270">
        <f t="shared" si="4"/>
        <v>69.748000000000005</v>
      </c>
      <c r="AD9" s="269"/>
      <c r="AE9" s="270">
        <f>+AE10+AE11</f>
        <v>312.14100000000002</v>
      </c>
      <c r="AF9" s="270">
        <f>+AF10+AF11</f>
        <v>312.14100000000002</v>
      </c>
      <c r="AG9" s="269"/>
      <c r="AH9" s="270">
        <f t="shared" ref="AH9:AO9" si="5">+AH10+AH11</f>
        <v>56.795000000000002</v>
      </c>
      <c r="AI9" s="270">
        <f t="shared" si="5"/>
        <v>56.795000000000002</v>
      </c>
      <c r="AJ9" s="270">
        <f t="shared" si="5"/>
        <v>64.813000000000002</v>
      </c>
      <c r="AK9" s="270">
        <f t="shared" si="5"/>
        <v>64.813000000000002</v>
      </c>
      <c r="AL9" s="270">
        <f t="shared" si="5"/>
        <v>64.989000000000004</v>
      </c>
      <c r="AM9" s="270">
        <f t="shared" si="5"/>
        <v>64.989000000000004</v>
      </c>
      <c r="AN9" s="270">
        <f t="shared" si="5"/>
        <v>68.025999999999996</v>
      </c>
      <c r="AO9" s="270">
        <f t="shared" si="5"/>
        <v>68.025999999999996</v>
      </c>
      <c r="AP9" s="269"/>
      <c r="AQ9" s="270">
        <f>+AQ10+AQ11</f>
        <v>254.62300000000002</v>
      </c>
      <c r="AR9" s="270">
        <f>+AR10+AR11</f>
        <v>254.62300000000002</v>
      </c>
      <c r="AS9" s="269"/>
      <c r="AT9" s="373"/>
      <c r="AU9" s="269"/>
      <c r="AV9" s="269"/>
      <c r="AW9" s="269"/>
      <c r="AX9" s="269"/>
      <c r="AY9" s="269"/>
    </row>
    <row r="10" spans="1:51" ht="17.25" thickBot="1" x14ac:dyDescent="0.25">
      <c r="A10" s="349"/>
      <c r="B10" s="268" t="s">
        <v>252</v>
      </c>
      <c r="C10" s="269"/>
      <c r="D10" s="270">
        <f>+'CES Revenue Metrics'!B7</f>
        <v>172.30700000000002</v>
      </c>
      <c r="E10" s="270">
        <f>+'CES Revenue Metrics'!B23</f>
        <v>172.47800000000001</v>
      </c>
      <c r="F10" s="269"/>
      <c r="G10" s="270">
        <f>+'CES Revenue Metrics'!C7</f>
        <v>181.7</v>
      </c>
      <c r="H10" s="270">
        <f>+'CES Revenue Metrics'!C23</f>
        <v>181.7</v>
      </c>
      <c r="I10" s="269"/>
      <c r="J10" s="270">
        <f>+'CES Revenue Metrics'!E7</f>
        <v>44.4</v>
      </c>
      <c r="K10" s="270">
        <f>+'CES Revenue Metrics'!E23</f>
        <v>44.4</v>
      </c>
      <c r="L10" s="270">
        <f>+'CES Revenue Metrics'!F7</f>
        <v>49.9</v>
      </c>
      <c r="M10" s="270">
        <f>+'CES Revenue Metrics'!F23</f>
        <v>49.9</v>
      </c>
      <c r="N10" s="270">
        <f>+'CES Revenue Metrics'!G7</f>
        <v>44.5</v>
      </c>
      <c r="O10" s="270">
        <f>+'CES Revenue Metrics'!G23</f>
        <v>44.5</v>
      </c>
      <c r="P10" s="270">
        <f>+'CES Revenue Metrics'!H7</f>
        <v>57.4</v>
      </c>
      <c r="Q10" s="270">
        <f>+'CES Revenue Metrics'!H23</f>
        <v>57.4</v>
      </c>
      <c r="R10" s="269"/>
      <c r="S10" s="270">
        <f>+'CES Revenue Metrics'!J7</f>
        <v>196.1</v>
      </c>
      <c r="T10" s="270">
        <f>+'CES Revenue Metrics'!J23</f>
        <v>196.1</v>
      </c>
      <c r="U10" s="269"/>
      <c r="V10" s="270">
        <f>+'CES Revenue Metrics'!L7</f>
        <v>47.6</v>
      </c>
      <c r="W10" s="270">
        <f>+'CES Revenue Metrics'!L23</f>
        <v>47.6</v>
      </c>
      <c r="X10" s="270">
        <f>+'CES Revenue Metrics'!M7</f>
        <v>48</v>
      </c>
      <c r="Y10" s="270">
        <f>+'CES Revenue Metrics'!M23</f>
        <v>48</v>
      </c>
      <c r="Z10" s="270">
        <f>+'CES Revenue Metrics'!N7</f>
        <v>43.725999999999999</v>
      </c>
      <c r="AA10" s="270">
        <f>+'CES Revenue Metrics'!N23</f>
        <v>43.725999999999999</v>
      </c>
      <c r="AB10" s="270">
        <f>+'CES Revenue Metrics'!O7</f>
        <v>40.526000000000003</v>
      </c>
      <c r="AC10" s="270">
        <f>+'CES Revenue Metrics'!O23</f>
        <v>40.526000000000003</v>
      </c>
      <c r="AD10" s="269"/>
      <c r="AE10" s="270">
        <f>+'CES Revenue Metrics'!Q7</f>
        <v>179.852</v>
      </c>
      <c r="AF10" s="270">
        <f>+'CES Revenue Metrics'!Q23</f>
        <v>179.852</v>
      </c>
      <c r="AG10" s="269"/>
      <c r="AH10" s="270">
        <f>+'CES Revenue Metrics'!S7</f>
        <v>28.524999999999999</v>
      </c>
      <c r="AI10" s="270">
        <f>+'CES Revenue Metrics'!S23</f>
        <v>28.524999999999999</v>
      </c>
      <c r="AJ10" s="270">
        <f>+'CES Revenue Metrics'!T7</f>
        <v>35.829000000000001</v>
      </c>
      <c r="AK10" s="270">
        <f>+'CES Revenue Metrics'!T23</f>
        <v>35.829000000000001</v>
      </c>
      <c r="AL10" s="270">
        <f>+'CES Revenue Metrics'!U7</f>
        <v>35.460999999999999</v>
      </c>
      <c r="AM10" s="270">
        <f>+'CES Revenue Metrics'!U23</f>
        <v>35.460999999999999</v>
      </c>
      <c r="AN10" s="270">
        <f>+'CES Revenue Metrics'!V7</f>
        <v>42.024999999999999</v>
      </c>
      <c r="AO10" s="270">
        <f>+'CES Revenue Metrics'!V23</f>
        <v>42.024999999999999</v>
      </c>
      <c r="AP10" s="269"/>
      <c r="AQ10" s="270">
        <f>+'CES Revenue Metrics'!X7</f>
        <v>141.84</v>
      </c>
      <c r="AR10" s="270">
        <f>+'CES Revenue Metrics'!X23</f>
        <v>141.84</v>
      </c>
      <c r="AS10" s="269"/>
      <c r="AT10" s="373"/>
      <c r="AU10" s="269"/>
      <c r="AV10" s="269"/>
      <c r="AW10" s="269"/>
      <c r="AX10" s="269"/>
      <c r="AY10" s="269"/>
    </row>
    <row r="11" spans="1:51" ht="17.25" thickBot="1" x14ac:dyDescent="0.25">
      <c r="A11" s="349"/>
      <c r="B11" s="268" t="s">
        <v>355</v>
      </c>
      <c r="C11" s="269"/>
      <c r="D11" s="270">
        <f>+'CES Revenue Metrics'!B10</f>
        <v>135.501</v>
      </c>
      <c r="E11" s="270">
        <f>+'CES Revenue Metrics'!B26</f>
        <v>135.845</v>
      </c>
      <c r="F11" s="269"/>
      <c r="G11" s="270">
        <f>+'CES Revenue Metrics'!C10</f>
        <v>132.71199999999999</v>
      </c>
      <c r="H11" s="270">
        <f>+'CES Revenue Metrics'!C26</f>
        <v>132.71199999999999</v>
      </c>
      <c r="I11" s="269"/>
      <c r="J11" s="270">
        <f>+'CES Revenue Metrics'!E10</f>
        <v>34.299999999999997</v>
      </c>
      <c r="K11" s="270">
        <f>+'CES Revenue Metrics'!E26</f>
        <v>34.299999999999997</v>
      </c>
      <c r="L11" s="270">
        <f>+'CES Revenue Metrics'!F10</f>
        <v>33.200000000000003</v>
      </c>
      <c r="M11" s="270">
        <f>+'CES Revenue Metrics'!F26</f>
        <v>33.200000000000003</v>
      </c>
      <c r="N11" s="270">
        <f>+'CES Revenue Metrics'!G10</f>
        <v>36.1</v>
      </c>
      <c r="O11" s="270">
        <f>+'CES Revenue Metrics'!G26</f>
        <v>36.1</v>
      </c>
      <c r="P11" s="270">
        <f>+'CES Revenue Metrics'!H10</f>
        <v>31</v>
      </c>
      <c r="Q11" s="270">
        <f>+'CES Revenue Metrics'!H26</f>
        <v>31</v>
      </c>
      <c r="R11" s="269"/>
      <c r="S11" s="270">
        <f>+'CES Revenue Metrics'!J10</f>
        <v>134.5</v>
      </c>
      <c r="T11" s="270">
        <f>+'CES Revenue Metrics'!J26</f>
        <v>134.5</v>
      </c>
      <c r="U11" s="269"/>
      <c r="V11" s="270">
        <f>+'CES Revenue Metrics'!L10</f>
        <v>36.134999999999998</v>
      </c>
      <c r="W11" s="270">
        <f>+'CES Revenue Metrics'!L26</f>
        <v>36.134999999999998</v>
      </c>
      <c r="X11" s="270">
        <f>+'CES Revenue Metrics'!M10</f>
        <v>34.1</v>
      </c>
      <c r="Y11" s="270">
        <f>+'CES Revenue Metrics'!M26</f>
        <v>34.1</v>
      </c>
      <c r="Z11" s="270">
        <f>+'CES Revenue Metrics'!N10</f>
        <v>32.832000000000001</v>
      </c>
      <c r="AA11" s="270">
        <f>+'CES Revenue Metrics'!N26</f>
        <v>32.832000000000001</v>
      </c>
      <c r="AB11" s="270">
        <f>+'CES Revenue Metrics'!O10</f>
        <v>29.222000000000001</v>
      </c>
      <c r="AC11" s="270">
        <f>+'CES Revenue Metrics'!O26</f>
        <v>29.222000000000001</v>
      </c>
      <c r="AD11" s="269"/>
      <c r="AE11" s="270">
        <f>+'CES Revenue Metrics'!Q10</f>
        <v>132.28900000000002</v>
      </c>
      <c r="AF11" s="270">
        <f>+'CES Revenue Metrics'!Q26</f>
        <v>132.28900000000002</v>
      </c>
      <c r="AG11" s="269"/>
      <c r="AH11" s="270">
        <f>+'CES Revenue Metrics'!S10</f>
        <v>28.27</v>
      </c>
      <c r="AI11" s="270">
        <f>+'CES Revenue Metrics'!S26</f>
        <v>28.27</v>
      </c>
      <c r="AJ11" s="270">
        <f>+'CES Revenue Metrics'!T10</f>
        <v>28.984000000000002</v>
      </c>
      <c r="AK11" s="270">
        <f>+'CES Revenue Metrics'!T26</f>
        <v>28.984000000000002</v>
      </c>
      <c r="AL11" s="270">
        <f>+'CES Revenue Metrics'!U10</f>
        <v>29.527999999999999</v>
      </c>
      <c r="AM11" s="270">
        <f>+'CES Revenue Metrics'!U26</f>
        <v>29.527999999999999</v>
      </c>
      <c r="AN11" s="270">
        <f>+'CES Revenue Metrics'!V10</f>
        <v>26.001000000000001</v>
      </c>
      <c r="AO11" s="270">
        <f>+'CES Revenue Metrics'!V26</f>
        <v>26.001000000000001</v>
      </c>
      <c r="AP11" s="269"/>
      <c r="AQ11" s="270">
        <f>+'CES Revenue Metrics'!X10</f>
        <v>112.78300000000002</v>
      </c>
      <c r="AR11" s="270">
        <f>+'CES Revenue Metrics'!X26</f>
        <v>112.78300000000002</v>
      </c>
      <c r="AS11" s="269"/>
      <c r="AT11" s="373"/>
      <c r="AU11" s="269"/>
      <c r="AV11" s="269"/>
      <c r="AW11" s="269"/>
      <c r="AX11" s="269"/>
      <c r="AY11" s="269"/>
    </row>
    <row r="12" spans="1:51" ht="17.25" thickBot="1" x14ac:dyDescent="0.25">
      <c r="A12" s="349"/>
      <c r="B12" s="268" t="s">
        <v>218</v>
      </c>
      <c r="C12" s="269"/>
      <c r="D12" s="270">
        <f>+'CES Revenue Metrics'!B11</f>
        <v>705.89499999999998</v>
      </c>
      <c r="E12" s="270">
        <f>+'CES Revenue Metrics'!B27</f>
        <v>716.16100000000006</v>
      </c>
      <c r="F12" s="269"/>
      <c r="G12" s="270">
        <f>+'CES Revenue Metrics'!C11</f>
        <v>740.07499999999993</v>
      </c>
      <c r="H12" s="270">
        <f>+'CES Revenue Metrics'!C27</f>
        <v>754.97499999999991</v>
      </c>
      <c r="I12" s="269"/>
      <c r="J12" s="270">
        <f>+'CES Revenue Metrics'!E11</f>
        <v>186.52499999999998</v>
      </c>
      <c r="K12" s="270">
        <f>+'CES Revenue Metrics'!E27</f>
        <v>189.16000000000003</v>
      </c>
      <c r="L12" s="270">
        <f>+'CES Revenue Metrics'!F11</f>
        <v>200.79999999999995</v>
      </c>
      <c r="M12" s="270">
        <f>+'CES Revenue Metrics'!F27</f>
        <v>202.98000000000002</v>
      </c>
      <c r="N12" s="270">
        <f>+'CES Revenue Metrics'!G11</f>
        <v>197.5</v>
      </c>
      <c r="O12" s="270">
        <f>+'CES Revenue Metrics'!G27</f>
        <v>201.48</v>
      </c>
      <c r="P12" s="270">
        <f>+'CES Revenue Metrics'!H11</f>
        <v>211.52499999999998</v>
      </c>
      <c r="Q12" s="270">
        <f>+'CES Revenue Metrics'!H27</f>
        <v>217.8</v>
      </c>
      <c r="R12" s="269"/>
      <c r="S12" s="270">
        <f>+'CES Revenue Metrics'!J11</f>
        <v>796.26800000000003</v>
      </c>
      <c r="T12" s="270">
        <f>+'CES Revenue Metrics'!J27</f>
        <v>811.32799999999997</v>
      </c>
      <c r="U12" s="269"/>
      <c r="V12" s="270">
        <f>+'CES Revenue Metrics'!L11</f>
        <v>207.11899999999997</v>
      </c>
      <c r="W12" s="270">
        <f>+'CES Revenue Metrics'!L27</f>
        <v>215.86500000000001</v>
      </c>
      <c r="X12" s="270">
        <f>+'CES Revenue Metrics'!M11</f>
        <v>211.41399999999999</v>
      </c>
      <c r="Y12" s="270">
        <f>+'CES Revenue Metrics'!M27</f>
        <v>218.42</v>
      </c>
      <c r="Z12" s="270">
        <f>+'CES Revenue Metrics'!N11</f>
        <v>217.93599999999998</v>
      </c>
      <c r="AA12" s="270">
        <f>+'CES Revenue Metrics'!N27</f>
        <v>224.149</v>
      </c>
      <c r="AB12" s="270">
        <f>+'CES Revenue Metrics'!O11</f>
        <v>210.05800000000002</v>
      </c>
      <c r="AC12" s="270">
        <f>+'CES Revenue Metrics'!O27</f>
        <v>214.76000000000002</v>
      </c>
      <c r="AD12" s="269"/>
      <c r="AE12" s="270">
        <f>+'CES Revenue Metrics'!Q11</f>
        <v>846.52699999999993</v>
      </c>
      <c r="AF12" s="270">
        <f>+'CES Revenue Metrics'!Q27</f>
        <v>873.19399999999996</v>
      </c>
      <c r="AG12" s="269"/>
      <c r="AH12" s="270">
        <f>+'CES Revenue Metrics'!S11</f>
        <v>185.86500000000001</v>
      </c>
      <c r="AI12" s="270">
        <f>+'CES Revenue Metrics'!S27</f>
        <v>189.12700000000004</v>
      </c>
      <c r="AJ12" s="270">
        <f>+'CES Revenue Metrics'!T11</f>
        <v>204.08</v>
      </c>
      <c r="AK12" s="270">
        <f>+'CES Revenue Metrics'!T27</f>
        <v>207.14599999999999</v>
      </c>
      <c r="AL12" s="270">
        <f>+'CES Revenue Metrics'!U11</f>
        <v>215.22199999999998</v>
      </c>
      <c r="AM12" s="270">
        <f>+'CES Revenue Metrics'!U27</f>
        <v>217.44899999999998</v>
      </c>
      <c r="AN12" s="270">
        <f>+'CES Revenue Metrics'!V11</f>
        <v>225.07999999999998</v>
      </c>
      <c r="AO12" s="270">
        <f>+'CES Revenue Metrics'!V27</f>
        <v>226.86100000000002</v>
      </c>
      <c r="AP12" s="269"/>
      <c r="AQ12" s="270">
        <f>+'CES Revenue Metrics'!X11</f>
        <v>830.24699999999996</v>
      </c>
      <c r="AR12" s="270">
        <f>+'CES Revenue Metrics'!X27</f>
        <v>840.58299999999997</v>
      </c>
      <c r="AS12" s="269"/>
      <c r="AT12" s="374"/>
      <c r="AU12" s="269"/>
      <c r="AV12" s="269"/>
      <c r="AW12" s="269"/>
      <c r="AX12" s="269"/>
      <c r="AY12" s="269"/>
    </row>
    <row r="13" spans="1:51" ht="17.25" thickBot="1" x14ac:dyDescent="0.25">
      <c r="A13" s="349"/>
      <c r="B13" s="268"/>
      <c r="C13" s="269"/>
      <c r="D13" s="270"/>
      <c r="E13" s="270"/>
      <c r="F13" s="269"/>
      <c r="G13" s="270"/>
      <c r="H13" s="270"/>
      <c r="I13" s="269"/>
      <c r="J13" s="270"/>
      <c r="K13" s="270"/>
      <c r="L13" s="270"/>
      <c r="M13" s="270"/>
      <c r="N13" s="270"/>
      <c r="O13" s="270"/>
      <c r="P13" s="270"/>
      <c r="Q13" s="270"/>
      <c r="R13" s="269"/>
      <c r="S13" s="270"/>
      <c r="T13" s="270"/>
      <c r="U13" s="269"/>
      <c r="V13" s="270"/>
      <c r="W13" s="270"/>
      <c r="X13" s="270"/>
      <c r="Y13" s="270"/>
      <c r="Z13" s="270"/>
      <c r="AA13" s="270"/>
      <c r="AB13" s="270"/>
      <c r="AC13" s="270"/>
      <c r="AD13" s="269"/>
      <c r="AE13" s="270"/>
      <c r="AF13" s="270"/>
      <c r="AG13" s="269"/>
      <c r="AH13" s="270"/>
      <c r="AI13" s="270"/>
      <c r="AJ13" s="270"/>
      <c r="AK13" s="270"/>
      <c r="AL13" s="270"/>
      <c r="AM13" s="270"/>
      <c r="AN13" s="270"/>
      <c r="AO13" s="270"/>
      <c r="AP13" s="269"/>
      <c r="AQ13" s="270"/>
      <c r="AR13" s="270"/>
      <c r="AS13" s="269"/>
      <c r="AT13" s="271"/>
      <c r="AU13" s="269"/>
      <c r="AV13" s="269"/>
      <c r="AW13" s="269"/>
      <c r="AX13" s="269"/>
      <c r="AY13" s="269"/>
    </row>
    <row r="14" spans="1:51" ht="17.25" thickBot="1" x14ac:dyDescent="0.25">
      <c r="A14" s="349"/>
      <c r="B14" s="265" t="s">
        <v>235</v>
      </c>
      <c r="C14" s="272"/>
      <c r="D14" s="273">
        <v>1.5885282871151922E-2</v>
      </c>
      <c r="E14" s="273">
        <v>2.5580769241785106E-2</v>
      </c>
      <c r="F14" s="272"/>
      <c r="G14" s="273">
        <v>4.8420799127348896E-2</v>
      </c>
      <c r="H14" s="273">
        <v>5.4197310381324658E-2</v>
      </c>
      <c r="I14" s="272"/>
      <c r="J14" s="273">
        <v>9.7155631379239257E-2</v>
      </c>
      <c r="K14" s="273">
        <v>8.2999427590154551E-2</v>
      </c>
      <c r="L14" s="273">
        <v>0.11513428260434945</v>
      </c>
      <c r="M14" s="273">
        <v>0.1062549726978452</v>
      </c>
      <c r="N14" s="273">
        <v>8.6614956770747112E-2</v>
      </c>
      <c r="O14" s="273">
        <v>9.2105405786261543E-2</v>
      </c>
      <c r="P14" s="273">
        <v>1.4758377154262432E-2</v>
      </c>
      <c r="Q14" s="273">
        <v>2.576178589930754E-2</v>
      </c>
      <c r="R14" s="272"/>
      <c r="S14" s="273">
        <v>7.5972029861838361E-2</v>
      </c>
      <c r="T14" s="273">
        <v>7.459982118613219E-2</v>
      </c>
      <c r="U14" s="272"/>
      <c r="V14" s="273">
        <v>0.11145576407506699</v>
      </c>
      <c r="W14" s="273">
        <v>0.14130021141649055</v>
      </c>
      <c r="X14" s="273">
        <v>5.2788844621513911E-2</v>
      </c>
      <c r="Y14" s="273">
        <v>7.5862068965517268E-2</v>
      </c>
      <c r="Z14" s="273">
        <v>0.10447341772151933</v>
      </c>
      <c r="AA14" s="273">
        <v>0.11340694789081919</v>
      </c>
      <c r="AB14" s="273">
        <v>-6.8179669030733201E-3</v>
      </c>
      <c r="AC14" s="273">
        <v>-1.3957759412304701E-2</v>
      </c>
      <c r="AD14" s="272"/>
      <c r="AE14" s="273">
        <v>6.3072962451337464E-2</v>
      </c>
      <c r="AF14" s="273">
        <v>7.6302607186526095E-2</v>
      </c>
      <c r="AG14" s="269"/>
      <c r="AH14" s="273">
        <f>'CES Constant Currency'!S10</f>
        <v>-0.10261733592765494</v>
      </c>
      <c r="AI14" s="273">
        <f>'CES Constant Currency'!S18</f>
        <v>-0.12386445231973674</v>
      </c>
      <c r="AJ14" s="273">
        <f>'CES Constant Currency'!T10</f>
        <v>-3.4690228650893391E-2</v>
      </c>
      <c r="AK14" s="273">
        <f>'CES Constant Currency'!T18</f>
        <v>-5.1616152366999367E-2</v>
      </c>
      <c r="AL14" s="273">
        <f>'CES Constant Currency'!U10</f>
        <v>-1.2453197268922982E-2</v>
      </c>
      <c r="AM14" s="273">
        <f>'CES Constant Currency'!U18</f>
        <v>-2.9890831545088387E-2</v>
      </c>
      <c r="AN14" s="273">
        <f>'CES Constant Currency'!V10</f>
        <v>7.1513581963076819E-2</v>
      </c>
      <c r="AO14" s="273">
        <f>'CES Constant Currency'!V18</f>
        <v>5.6346619482212694E-2</v>
      </c>
      <c r="AP14" s="272"/>
      <c r="AQ14" s="273">
        <f>'CES Constant Currency'!X10</f>
        <v>-1.9231518900164998E-2</v>
      </c>
      <c r="AR14" s="273">
        <f>'CES Constant Currency'!X18</f>
        <v>-3.734679807694509E-2</v>
      </c>
      <c r="AS14" s="269"/>
      <c r="AT14" s="362" t="s">
        <v>245</v>
      </c>
      <c r="AU14" s="269"/>
      <c r="AV14" s="269"/>
      <c r="AW14" s="269"/>
      <c r="AX14" s="269"/>
      <c r="AY14" s="269"/>
    </row>
    <row r="15" spans="1:51" ht="17.25" thickBot="1" x14ac:dyDescent="0.25">
      <c r="A15" s="350"/>
      <c r="B15" s="265" t="s">
        <v>236</v>
      </c>
      <c r="C15" s="272"/>
      <c r="D15" s="273">
        <v>2.8988698394058102E-2</v>
      </c>
      <c r="E15" s="273">
        <v>3.9670742290540711E-2</v>
      </c>
      <c r="F15" s="272"/>
      <c r="G15" s="273">
        <v>4.6897909745783749E-2</v>
      </c>
      <c r="H15" s="273">
        <v>5.1439550603844579E-2</v>
      </c>
      <c r="I15" s="272"/>
      <c r="J15" s="273">
        <v>7.6565579315821891E-2</v>
      </c>
      <c r="K15" s="273">
        <v>5.8958214081282267E-2</v>
      </c>
      <c r="L15" s="273">
        <v>0.1106915165381966</v>
      </c>
      <c r="M15" s="273">
        <v>0.10080544081263414</v>
      </c>
      <c r="N15" s="273">
        <v>9.5875323531031426E-2</v>
      </c>
      <c r="O15" s="273">
        <v>0.10023522270278473</v>
      </c>
      <c r="P15" s="273">
        <v>2.6753157026062225E-2</v>
      </c>
      <c r="Q15" s="273">
        <v>3.6123016059906685E-2</v>
      </c>
      <c r="R15" s="272"/>
      <c r="S15" s="273">
        <v>7.5566665540654762E-2</v>
      </c>
      <c r="T15" s="273">
        <v>7.4207755223683031E-2</v>
      </c>
      <c r="U15" s="272"/>
      <c r="V15" s="273">
        <v>0.13236729222520108</v>
      </c>
      <c r="W15" s="273">
        <v>0.15750528541226222</v>
      </c>
      <c r="X15" s="273">
        <v>6.5737051792828627E-2</v>
      </c>
      <c r="Y15" s="273">
        <v>8.8669950738916259E-2</v>
      </c>
      <c r="Z15" s="273">
        <v>0.11392405063291156</v>
      </c>
      <c r="AA15" s="273">
        <v>0.12158808933002498</v>
      </c>
      <c r="AB15" s="273">
        <v>-7.0921985815602835E-3</v>
      </c>
      <c r="AC15" s="273">
        <v>-1.2855831037649142E-2</v>
      </c>
      <c r="AD15" s="272"/>
      <c r="AE15" s="273">
        <v>7.3715936204947943E-2</v>
      </c>
      <c r="AF15" s="273">
        <v>8.7149449769258008E-2</v>
      </c>
      <c r="AG15" s="269"/>
      <c r="AH15" s="273">
        <f>'CES Constant Currency'!S12</f>
        <v>-9.2309252169042788E-2</v>
      </c>
      <c r="AI15" s="273">
        <f>'CES Constant Currency'!S20</f>
        <v>-0.11518773307391197</v>
      </c>
      <c r="AJ15" s="273">
        <f>'CES Constant Currency'!T12</f>
        <v>-3.0338577388441576E-2</v>
      </c>
      <c r="AK15" s="273">
        <f>'CES Constant Currency'!T20</f>
        <v>-4.770625400604335E-2</v>
      </c>
      <c r="AL15" s="273">
        <f>'CES Constant Currency'!U12</f>
        <v>-2.2648851038836994E-2</v>
      </c>
      <c r="AM15" s="273">
        <f>'CES Constant Currency'!U20</f>
        <v>-4.0816599672539255E-2</v>
      </c>
      <c r="AN15" s="273">
        <f>'CES Constant Currency'!V12</f>
        <v>6.1611554903883724E-2</v>
      </c>
      <c r="AO15" s="273">
        <f>'CES Constant Currency'!V20</f>
        <v>4.3024771838331068E-2</v>
      </c>
      <c r="AP15" s="272"/>
      <c r="AQ15" s="273">
        <f>'CES Constant Currency'!X12</f>
        <v>-2.0704596545650558E-2</v>
      </c>
      <c r="AR15" s="273">
        <f>'CES Constant Currency'!X20</f>
        <v>-3.9159682728007704E-2</v>
      </c>
      <c r="AS15" s="269"/>
      <c r="AT15" s="375"/>
      <c r="AU15" s="269"/>
      <c r="AV15" s="269"/>
      <c r="AW15" s="269"/>
      <c r="AX15" s="269"/>
      <c r="AY15" s="269"/>
    </row>
    <row r="16" spans="1:51" ht="17.25" thickBot="1" x14ac:dyDescent="0.25">
      <c r="A16" s="192"/>
      <c r="B16" s="274"/>
      <c r="C16" s="269"/>
      <c r="D16" s="275"/>
      <c r="E16" s="275"/>
      <c r="F16" s="269"/>
      <c r="G16" s="275"/>
      <c r="H16" s="275" t="s">
        <v>11</v>
      </c>
      <c r="I16" s="269"/>
      <c r="J16" s="275"/>
      <c r="K16" s="275"/>
      <c r="L16" s="275"/>
      <c r="M16" s="275"/>
      <c r="N16" s="275"/>
      <c r="O16" s="275"/>
      <c r="P16" s="275"/>
      <c r="Q16" s="275"/>
      <c r="R16" s="269"/>
      <c r="S16" s="275"/>
      <c r="T16" s="275"/>
      <c r="U16" s="269"/>
      <c r="V16" s="275"/>
      <c r="W16" s="275"/>
      <c r="X16" s="275"/>
      <c r="Y16" s="275"/>
      <c r="Z16" s="275"/>
      <c r="AA16" s="275"/>
      <c r="AB16" s="275"/>
      <c r="AC16" s="275"/>
      <c r="AD16" s="269"/>
      <c r="AE16" s="275"/>
      <c r="AF16" s="275"/>
      <c r="AG16" s="269"/>
      <c r="AH16" s="275"/>
      <c r="AI16" s="275"/>
      <c r="AJ16" s="275"/>
      <c r="AK16" s="275"/>
      <c r="AL16" s="275"/>
      <c r="AM16" s="275"/>
      <c r="AN16" s="275"/>
      <c r="AO16" s="275"/>
      <c r="AP16" s="269"/>
      <c r="AQ16" s="275"/>
      <c r="AR16" s="275"/>
      <c r="AS16" s="269"/>
      <c r="AT16" s="276"/>
      <c r="AU16" s="269"/>
      <c r="AV16" s="269"/>
      <c r="AW16" s="269"/>
      <c r="AX16" s="269"/>
      <c r="AY16" s="269"/>
    </row>
    <row r="17" spans="1:51" ht="33" customHeight="1" thickBot="1" x14ac:dyDescent="0.25">
      <c r="A17" s="359" t="s">
        <v>325</v>
      </c>
      <c r="B17" s="265" t="s">
        <v>326</v>
      </c>
      <c r="C17" s="272"/>
      <c r="D17" s="285">
        <f>+(D7+D8+D10)/D12</f>
        <v>0.80804368921723491</v>
      </c>
      <c r="E17" s="285">
        <f>+(E7+E8+E10)/E12</f>
        <v>0.81031499900162107</v>
      </c>
      <c r="F17" s="272"/>
      <c r="G17" s="285">
        <f>+(G7+G8+G10)/G12</f>
        <v>0.82067763402357885</v>
      </c>
      <c r="H17" s="285">
        <f>+(H7+H8+H10)/H12</f>
        <v>0.82421669591708335</v>
      </c>
      <c r="I17" s="272"/>
      <c r="J17" s="285">
        <f t="shared" ref="J17:Q17" si="6">+(J7+J8+J10)/J12</f>
        <v>0.8161104409596569</v>
      </c>
      <c r="K17" s="285">
        <f t="shared" si="6"/>
        <v>0.81867202368365388</v>
      </c>
      <c r="L17" s="285">
        <f t="shared" si="6"/>
        <v>0.83466135458167345</v>
      </c>
      <c r="M17" s="285">
        <f t="shared" si="6"/>
        <v>0.83643708739777312</v>
      </c>
      <c r="N17" s="285">
        <f t="shared" si="6"/>
        <v>0.81721518987341779</v>
      </c>
      <c r="O17" s="285">
        <f t="shared" si="6"/>
        <v>0.82082588842565019</v>
      </c>
      <c r="P17" s="285">
        <f t="shared" si="6"/>
        <v>0.85344521924122452</v>
      </c>
      <c r="Q17" s="285">
        <f t="shared" si="6"/>
        <v>0.85766758494031226</v>
      </c>
      <c r="R17" s="272"/>
      <c r="S17" s="285">
        <f>+(S7+S8+S10)/S12</f>
        <v>0.83108702095274456</v>
      </c>
      <c r="T17" s="285">
        <f>+(T7+T8+T10)/T12</f>
        <v>0.83422241066498382</v>
      </c>
      <c r="U17" s="272"/>
      <c r="V17" s="285">
        <f t="shared" ref="V17:AC17" si="7">+(V7+V8+V10)/V12</f>
        <v>0.82553507886770405</v>
      </c>
      <c r="W17" s="285">
        <f t="shared" si="7"/>
        <v>0.83260371065249106</v>
      </c>
      <c r="X17" s="285">
        <f t="shared" si="7"/>
        <v>0.83870509994607734</v>
      </c>
      <c r="Y17" s="285">
        <f t="shared" si="7"/>
        <v>0.84387876568079845</v>
      </c>
      <c r="Z17" s="285">
        <f t="shared" si="7"/>
        <v>0.84935026796857793</v>
      </c>
      <c r="AA17" s="285">
        <f t="shared" si="7"/>
        <v>0.85352600279278523</v>
      </c>
      <c r="AB17" s="285">
        <f t="shared" si="7"/>
        <v>0.86088604099820043</v>
      </c>
      <c r="AC17" s="285">
        <f t="shared" si="7"/>
        <v>0.86393183088098335</v>
      </c>
      <c r="AD17" s="272"/>
      <c r="AE17" s="285">
        <f>+(AE7+AE8+AE10)/AE12</f>
        <v>0.84372737077494275</v>
      </c>
      <c r="AF17" s="285">
        <f>+(AF7+AF8+AF10)/AF12</f>
        <v>0.84849987517092418</v>
      </c>
      <c r="AG17" s="269"/>
      <c r="AH17" s="285">
        <f t="shared" ref="AH17:AO17" si="8">+(AH7+AH8+AH10)/AH12</f>
        <v>0.84790035778656547</v>
      </c>
      <c r="AI17" s="285">
        <f t="shared" si="8"/>
        <v>0.85052372215495387</v>
      </c>
      <c r="AJ17" s="285">
        <f t="shared" si="8"/>
        <v>0.85797726381811046</v>
      </c>
      <c r="AK17" s="285">
        <f t="shared" si="8"/>
        <v>0.86007936431309329</v>
      </c>
      <c r="AL17" s="285">
        <f t="shared" si="8"/>
        <v>0.86280212989378424</v>
      </c>
      <c r="AM17" s="285">
        <f t="shared" si="8"/>
        <v>0.86420723939866362</v>
      </c>
      <c r="AN17" s="285">
        <f t="shared" si="8"/>
        <v>0.88448107339612581</v>
      </c>
      <c r="AO17" s="285">
        <f t="shared" si="8"/>
        <v>0.88538796884435833</v>
      </c>
      <c r="AP17" s="272"/>
      <c r="AQ17" s="285">
        <f>+(AQ7+AQ8+AQ10)/AQ12</f>
        <v>0.86415729295017041</v>
      </c>
      <c r="AR17" s="285">
        <f>+(AR7+AR8+AR10)/AR12</f>
        <v>0.86582764581248983</v>
      </c>
      <c r="AS17" s="269"/>
      <c r="AT17" s="269"/>
      <c r="AU17" s="269"/>
      <c r="AV17" s="269"/>
      <c r="AW17" s="269"/>
      <c r="AX17" s="269"/>
      <c r="AY17" s="269"/>
    </row>
    <row r="18" spans="1:51" ht="33" customHeight="1" thickBot="1" x14ac:dyDescent="0.25">
      <c r="A18" s="361"/>
      <c r="B18" s="265" t="s">
        <v>377</v>
      </c>
      <c r="C18" s="272"/>
      <c r="D18" s="285">
        <f>+(D7+D8)/(D7+D8+D10)</f>
        <v>0.69791582660406659</v>
      </c>
      <c r="E18" s="285">
        <f>+(E7+E8)/(E7+E8+E10)</f>
        <v>0.70278606828004042</v>
      </c>
      <c r="F18" s="272"/>
      <c r="G18" s="285">
        <f>+(G7+G8)/(G7+G8+G10)</f>
        <v>0.7008378844282579</v>
      </c>
      <c r="H18" s="285">
        <f>+(H7+H8)/(H7+H8+H10)</f>
        <v>0.70800127920188094</v>
      </c>
      <c r="I18" s="272"/>
      <c r="J18" s="285">
        <f t="shared" ref="J18:Q18" si="9">+(J7+J8)/(J7+J8+J10)</f>
        <v>0.70832649039251117</v>
      </c>
      <c r="K18" s="285">
        <f t="shared" si="9"/>
        <v>0.71328942270437823</v>
      </c>
      <c r="L18" s="285">
        <f t="shared" si="9"/>
        <v>0.70226730310262531</v>
      </c>
      <c r="M18" s="285">
        <f t="shared" si="9"/>
        <v>0.70609023442101537</v>
      </c>
      <c r="N18" s="285">
        <f t="shared" si="9"/>
        <v>0.72428748451053282</v>
      </c>
      <c r="O18" s="285">
        <f t="shared" si="9"/>
        <v>0.73092272342483977</v>
      </c>
      <c r="P18" s="285">
        <f t="shared" si="9"/>
        <v>0.6820384988228777</v>
      </c>
      <c r="Q18" s="285">
        <f t="shared" si="9"/>
        <v>0.69271948608137046</v>
      </c>
      <c r="R18" s="272"/>
      <c r="S18" s="285">
        <f>+(S7+S8)/(S7+S8+S10)</f>
        <v>0.70367258616312667</v>
      </c>
      <c r="T18" s="285">
        <f>+(T7+T8)/(T7+T8+T10)</f>
        <v>0.71026612374192566</v>
      </c>
      <c r="U18" s="272"/>
      <c r="V18" s="285">
        <f t="shared" ref="V18:AC18" si="10">+(V7+V8)/(V7+V8+V10)</f>
        <v>0.72161137884246485</v>
      </c>
      <c r="W18" s="285">
        <f t="shared" si="10"/>
        <v>0.73515829299504809</v>
      </c>
      <c r="X18" s="285">
        <f t="shared" si="10"/>
        <v>0.72929379518819715</v>
      </c>
      <c r="Y18" s="285">
        <f t="shared" si="10"/>
        <v>0.73958333333333337</v>
      </c>
      <c r="Z18" s="285">
        <f t="shared" si="10"/>
        <v>0.76377603941567984</v>
      </c>
      <c r="AA18" s="285">
        <f t="shared" si="10"/>
        <v>0.77144738836590576</v>
      </c>
      <c r="AB18" s="285">
        <f t="shared" si="10"/>
        <v>0.77589639231126539</v>
      </c>
      <c r="AC18" s="285">
        <f t="shared" si="10"/>
        <v>0.78157574189653867</v>
      </c>
      <c r="AD18" s="272"/>
      <c r="AE18" s="285">
        <f>+(AE7+AE8)/(AE7+AE8+AE10)</f>
        <v>0.748190379117325</v>
      </c>
      <c r="AF18" s="285">
        <f>+(AF7+AF8)/(AF7+AF8+AF10)</f>
        <v>0.7572536290077676</v>
      </c>
      <c r="AG18" s="269"/>
      <c r="AH18" s="285">
        <f t="shared" ref="AH18:AO18" si="11">+(AH7+AH8)/(AH7+AH8+AH10)</f>
        <v>0.81899806465941172</v>
      </c>
      <c r="AI18" s="285">
        <f t="shared" si="11"/>
        <v>0.82266858141081822</v>
      </c>
      <c r="AJ18" s="285">
        <f t="shared" si="11"/>
        <v>0.79537510851190196</v>
      </c>
      <c r="AK18" s="285">
        <f t="shared" si="11"/>
        <v>0.79889650991793981</v>
      </c>
      <c r="AL18" s="285">
        <f t="shared" si="11"/>
        <v>0.80903529462448975</v>
      </c>
      <c r="AM18" s="285">
        <f t="shared" si="11"/>
        <v>0.81129836473837402</v>
      </c>
      <c r="AN18" s="285">
        <f t="shared" si="11"/>
        <v>0.78890289784457424</v>
      </c>
      <c r="AO18" s="285">
        <f t="shared" si="11"/>
        <v>0.79077466892362835</v>
      </c>
      <c r="AP18" s="272"/>
      <c r="AQ18" s="285">
        <f>+(AQ7+AQ8)/(AQ7+AQ8+AQ10)</f>
        <v>0.80230366959178434</v>
      </c>
      <c r="AR18" s="285">
        <f>+(AR7+AR8)/(AR7+AR8+AR10)</f>
        <v>0.80511129431162409</v>
      </c>
      <c r="AS18" s="269"/>
      <c r="AT18" s="269"/>
      <c r="AU18" s="269"/>
      <c r="AV18" s="269"/>
      <c r="AW18" s="269"/>
      <c r="AX18" s="269"/>
      <c r="AY18" s="269"/>
    </row>
    <row r="19" spans="1:51" ht="17.25" thickBot="1" x14ac:dyDescent="0.25">
      <c r="A19" s="192"/>
      <c r="B19" s="274"/>
      <c r="C19" s="269"/>
      <c r="D19" s="275"/>
      <c r="E19" s="275"/>
      <c r="F19" s="269"/>
      <c r="G19" s="275"/>
      <c r="H19" s="275"/>
      <c r="I19" s="269"/>
      <c r="J19" s="275"/>
      <c r="K19" s="275"/>
      <c r="L19" s="275"/>
      <c r="M19" s="275"/>
      <c r="N19" s="275"/>
      <c r="O19" s="275"/>
      <c r="P19" s="275"/>
      <c r="Q19" s="275"/>
      <c r="R19" s="269"/>
      <c r="S19" s="275"/>
      <c r="T19" s="275"/>
      <c r="U19" s="269"/>
      <c r="V19" s="275"/>
      <c r="W19" s="275"/>
      <c r="X19" s="275"/>
      <c r="Y19" s="275"/>
      <c r="Z19" s="275"/>
      <c r="AA19" s="275"/>
      <c r="AB19" s="275"/>
      <c r="AC19" s="275"/>
      <c r="AD19" s="269"/>
      <c r="AE19" s="275"/>
      <c r="AF19" s="275"/>
      <c r="AG19" s="269"/>
      <c r="AH19" s="275"/>
      <c r="AI19" s="275"/>
      <c r="AJ19" s="275"/>
      <c r="AK19" s="275"/>
      <c r="AL19" s="275"/>
      <c r="AM19" s="275"/>
      <c r="AN19" s="275"/>
      <c r="AO19" s="275"/>
      <c r="AP19" s="269"/>
      <c r="AQ19" s="275"/>
      <c r="AR19" s="275"/>
      <c r="AS19" s="269"/>
      <c r="AT19" s="276"/>
      <c r="AU19" s="269"/>
      <c r="AV19" s="269"/>
      <c r="AW19" s="269"/>
      <c r="AX19" s="269"/>
      <c r="AY19" s="269"/>
    </row>
    <row r="20" spans="1:51" ht="19.5" customHeight="1" thickBot="1" x14ac:dyDescent="0.25">
      <c r="A20" s="359" t="s">
        <v>323</v>
      </c>
      <c r="B20" s="268" t="s">
        <v>102</v>
      </c>
      <c r="C20" s="269"/>
      <c r="D20" s="270"/>
      <c r="E20" s="270">
        <v>10.894</v>
      </c>
      <c r="F20" s="269"/>
      <c r="G20" s="270"/>
      <c r="H20" s="270">
        <v>18.443999999999999</v>
      </c>
      <c r="I20" s="269"/>
      <c r="J20" s="270"/>
      <c r="K20" s="270">
        <v>5.9470000000000001</v>
      </c>
      <c r="L20" s="270"/>
      <c r="M20" s="270">
        <v>4.7089999999999996</v>
      </c>
      <c r="N20" s="270"/>
      <c r="O20" s="270">
        <v>6.7549999999999999</v>
      </c>
      <c r="P20" s="270"/>
      <c r="Q20" s="270">
        <v>11.657999999999999</v>
      </c>
      <c r="R20" s="269"/>
      <c r="S20" s="270"/>
      <c r="T20" s="270">
        <f>+K20+M20+O20+Q20</f>
        <v>29.068999999999996</v>
      </c>
      <c r="U20" s="269"/>
      <c r="V20" s="270"/>
      <c r="W20" s="270">
        <v>8.1850000000000005</v>
      </c>
      <c r="X20" s="270"/>
      <c r="Y20" s="270">
        <v>10.135</v>
      </c>
      <c r="Z20" s="270"/>
      <c r="AA20" s="270">
        <v>15.605</v>
      </c>
      <c r="AB20" s="270"/>
      <c r="AC20" s="270">
        <v>15.785</v>
      </c>
      <c r="AD20" s="269"/>
      <c r="AE20" s="270"/>
      <c r="AF20" s="270">
        <f>+W20+Y20+AA20+AC20</f>
        <v>49.709999999999994</v>
      </c>
      <c r="AG20" s="269"/>
      <c r="AH20" s="270"/>
      <c r="AI20" s="270">
        <v>11.891999999999999</v>
      </c>
      <c r="AJ20" s="270"/>
      <c r="AK20" s="270">
        <v>16.696999999999999</v>
      </c>
      <c r="AL20" s="270"/>
      <c r="AM20" s="270">
        <v>15.659000000000001</v>
      </c>
      <c r="AN20" s="270"/>
      <c r="AO20" s="270">
        <v>21.907</v>
      </c>
      <c r="AP20" s="269"/>
      <c r="AQ20" s="270"/>
      <c r="AR20" s="270">
        <f>+AI20+AK20+AM20+AO20</f>
        <v>66.155000000000001</v>
      </c>
      <c r="AS20" s="269"/>
      <c r="AT20" s="276"/>
      <c r="AU20" s="269"/>
      <c r="AV20" s="269"/>
      <c r="AW20" s="269"/>
      <c r="AX20" s="269"/>
      <c r="AY20" s="269"/>
    </row>
    <row r="21" spans="1:51" ht="17.25" thickBot="1" x14ac:dyDescent="0.25">
      <c r="A21" s="360"/>
      <c r="B21" s="277" t="s">
        <v>248</v>
      </c>
      <c r="C21" s="272"/>
      <c r="D21" s="278"/>
      <c r="E21" s="278"/>
      <c r="F21" s="272"/>
      <c r="G21" s="278"/>
      <c r="H21" s="273">
        <f>+H20/E20-1</f>
        <v>0.69304204149072879</v>
      </c>
      <c r="I21" s="272"/>
      <c r="J21" s="278"/>
      <c r="K21" s="278"/>
      <c r="L21" s="278"/>
      <c r="M21" s="278"/>
      <c r="N21" s="278"/>
      <c r="O21" s="278"/>
      <c r="P21" s="278"/>
      <c r="Q21" s="278"/>
      <c r="R21" s="272"/>
      <c r="S21" s="278"/>
      <c r="T21" s="273">
        <f>+T20/H20-1</f>
        <v>0.57606809802645831</v>
      </c>
      <c r="U21" s="272"/>
      <c r="V21" s="278"/>
      <c r="W21" s="273">
        <f>+(W20-K20)/K20</f>
        <v>0.3763241970741551</v>
      </c>
      <c r="X21" s="278"/>
      <c r="Y21" s="273">
        <f>+(Y20-M20)/M20</f>
        <v>1.1522616266723298</v>
      </c>
      <c r="Z21" s="278"/>
      <c r="AA21" s="273">
        <f>+(AA20-O20)/O20</f>
        <v>1.3101406365655073</v>
      </c>
      <c r="AB21" s="278"/>
      <c r="AC21" s="273">
        <f>+(AC20-Q20)/Q20</f>
        <v>0.35400583290444337</v>
      </c>
      <c r="AD21" s="272"/>
      <c r="AE21" s="278"/>
      <c r="AF21" s="273">
        <f>+(AF20-T20)/T20</f>
        <v>0.71006914582544989</v>
      </c>
      <c r="AG21" s="269"/>
      <c r="AH21" s="278"/>
      <c r="AI21" s="273">
        <f>+(AI20-W20)/W20</f>
        <v>0.45290164935858263</v>
      </c>
      <c r="AJ21" s="278"/>
      <c r="AK21" s="273">
        <f>+(AK20-Y20)/Y20</f>
        <v>0.64745929945732605</v>
      </c>
      <c r="AL21" s="278"/>
      <c r="AM21" s="273">
        <f>+(AM20-AA20)/AA20</f>
        <v>3.4604293495674636E-3</v>
      </c>
      <c r="AN21" s="278"/>
      <c r="AO21" s="273">
        <f>+(AO20-AC20)/AC20</f>
        <v>0.38783655369021219</v>
      </c>
      <c r="AP21" s="272"/>
      <c r="AQ21" s="278"/>
      <c r="AR21" s="273">
        <f>+(AR20-AF20)/AF20</f>
        <v>0.33081874874270789</v>
      </c>
      <c r="AS21" s="269"/>
      <c r="AT21" s="276"/>
      <c r="AU21" s="269"/>
      <c r="AV21" s="269"/>
      <c r="AW21" s="269"/>
      <c r="AX21" s="269"/>
      <c r="AY21" s="269"/>
    </row>
    <row r="22" spans="1:51" ht="17.25" thickBot="1" x14ac:dyDescent="0.25">
      <c r="A22" s="360"/>
      <c r="B22" s="279"/>
      <c r="C22" s="269"/>
      <c r="D22" s="280"/>
      <c r="E22" s="280"/>
      <c r="F22" s="269"/>
      <c r="G22" s="280"/>
      <c r="H22" s="280"/>
      <c r="I22" s="269"/>
      <c r="J22" s="280"/>
      <c r="K22" s="280"/>
      <c r="L22" s="280"/>
      <c r="M22" s="280"/>
      <c r="N22" s="280"/>
      <c r="O22" s="280"/>
      <c r="P22" s="280"/>
      <c r="Q22" s="280"/>
      <c r="R22" s="269"/>
      <c r="S22" s="280"/>
      <c r="T22" s="280"/>
      <c r="U22" s="269"/>
      <c r="V22" s="280"/>
      <c r="W22" s="280"/>
      <c r="X22" s="280"/>
      <c r="Y22" s="280"/>
      <c r="Z22" s="280"/>
      <c r="AA22" s="280"/>
      <c r="AB22" s="280"/>
      <c r="AC22" s="280"/>
      <c r="AD22" s="269"/>
      <c r="AE22" s="280"/>
      <c r="AF22" s="280"/>
      <c r="AG22" s="269"/>
      <c r="AH22" s="280"/>
      <c r="AI22" s="280"/>
      <c r="AJ22" s="280"/>
      <c r="AK22" s="280"/>
      <c r="AL22" s="280"/>
      <c r="AM22" s="280"/>
      <c r="AN22" s="280"/>
      <c r="AO22" s="280"/>
      <c r="AP22" s="269"/>
      <c r="AQ22" s="280"/>
      <c r="AR22" s="280"/>
      <c r="AS22" s="269"/>
      <c r="AT22" s="276"/>
      <c r="AU22" s="269"/>
      <c r="AV22" s="269"/>
      <c r="AW22" s="269"/>
      <c r="AX22" s="269"/>
      <c r="AY22" s="269"/>
    </row>
    <row r="23" spans="1:51" ht="17.25" thickBot="1" x14ac:dyDescent="0.25">
      <c r="A23" s="360"/>
      <c r="B23" s="279" t="s">
        <v>378</v>
      </c>
      <c r="C23" s="269"/>
      <c r="D23" s="270"/>
      <c r="E23" s="270"/>
      <c r="F23" s="269"/>
      <c r="G23" s="270"/>
      <c r="H23" s="270"/>
      <c r="I23" s="269"/>
      <c r="J23" s="270"/>
      <c r="K23" s="270">
        <v>57.781999999999996</v>
      </c>
      <c r="L23" s="270"/>
      <c r="M23" s="270">
        <v>59.48</v>
      </c>
      <c r="N23" s="270"/>
      <c r="O23" s="270">
        <v>60.280999999999999</v>
      </c>
      <c r="P23" s="281"/>
      <c r="Q23" s="270">
        <v>79.658000000000001</v>
      </c>
      <c r="R23" s="269"/>
      <c r="S23" s="270"/>
      <c r="T23" s="270">
        <f>+K23+M23+O23+Q23</f>
        <v>257.20100000000002</v>
      </c>
      <c r="U23" s="269"/>
      <c r="V23" s="282"/>
      <c r="W23" s="282">
        <v>62.484999999999999</v>
      </c>
      <c r="X23" s="282"/>
      <c r="Y23" s="282">
        <v>61.539000000000001</v>
      </c>
      <c r="Z23" s="282"/>
      <c r="AA23" s="282">
        <v>75.311999999999998</v>
      </c>
      <c r="AB23" s="282"/>
      <c r="AC23" s="282">
        <v>71.465000000000003</v>
      </c>
      <c r="AD23" s="283"/>
      <c r="AE23" s="282"/>
      <c r="AF23" s="282">
        <f>+W23+Y23+AA23+AC23</f>
        <v>270.80100000000004</v>
      </c>
      <c r="AG23" s="269"/>
      <c r="AH23" s="282"/>
      <c r="AI23" s="282">
        <v>47.692</v>
      </c>
      <c r="AJ23" s="282"/>
      <c r="AK23" s="282">
        <v>62.218000000000004</v>
      </c>
      <c r="AL23" s="282"/>
      <c r="AM23" s="282">
        <v>66.084000000000003</v>
      </c>
      <c r="AN23" s="282"/>
      <c r="AO23" s="282">
        <v>82.313000000000002</v>
      </c>
      <c r="AP23" s="283"/>
      <c r="AQ23" s="282"/>
      <c r="AR23" s="282">
        <f>+AI23+AK23+AM23+AO23</f>
        <v>258.30700000000002</v>
      </c>
      <c r="AS23" s="269"/>
      <c r="AT23" s="276"/>
      <c r="AU23" s="269"/>
      <c r="AV23" s="269"/>
      <c r="AW23" s="269"/>
      <c r="AX23" s="269"/>
      <c r="AY23" s="269"/>
    </row>
    <row r="24" spans="1:51" s="34" customFormat="1" ht="17.25" thickBot="1" x14ac:dyDescent="0.25">
      <c r="A24" s="361"/>
      <c r="B24" s="265" t="s">
        <v>319</v>
      </c>
      <c r="C24" s="272"/>
      <c r="D24" s="278"/>
      <c r="E24" s="278"/>
      <c r="F24" s="272"/>
      <c r="G24" s="278"/>
      <c r="H24" s="278"/>
      <c r="I24" s="272"/>
      <c r="J24" s="278"/>
      <c r="K24" s="278"/>
      <c r="L24" s="278"/>
      <c r="M24" s="278"/>
      <c r="N24" s="278"/>
      <c r="O24" s="278"/>
      <c r="P24" s="278"/>
      <c r="Q24" s="278"/>
      <c r="R24" s="272"/>
      <c r="S24" s="278"/>
      <c r="T24" s="273"/>
      <c r="U24" s="272"/>
      <c r="V24" s="284"/>
      <c r="W24" s="285">
        <f>+W23/K23-1</f>
        <v>8.1392129036724326E-2</v>
      </c>
      <c r="X24" s="284"/>
      <c r="Y24" s="285">
        <f>+Y23/M23-1</f>
        <v>3.4616677874915958E-2</v>
      </c>
      <c r="Z24" s="284"/>
      <c r="AA24" s="285">
        <f>+AA23/O23-1</f>
        <v>0.24934888273253586</v>
      </c>
      <c r="AB24" s="284"/>
      <c r="AC24" s="285">
        <f>+AC23/Q23-1</f>
        <v>-0.102852193125612</v>
      </c>
      <c r="AD24" s="286"/>
      <c r="AE24" s="284"/>
      <c r="AF24" s="285">
        <f>+AF23/T23-1</f>
        <v>5.2876932826855239E-2</v>
      </c>
      <c r="AG24" s="272"/>
      <c r="AH24" s="284"/>
      <c r="AI24" s="285">
        <f>+AI23/W23-1</f>
        <v>-0.23674481875650155</v>
      </c>
      <c r="AJ24" s="284"/>
      <c r="AK24" s="285">
        <f>+AK23/Y23-1</f>
        <v>1.10336534555322E-2</v>
      </c>
      <c r="AL24" s="284"/>
      <c r="AM24" s="285">
        <f>+AM23/AA23-1</f>
        <v>-0.12253027405991068</v>
      </c>
      <c r="AN24" s="284"/>
      <c r="AO24" s="285">
        <f>+AO23/AC23-1</f>
        <v>0.15179458476177143</v>
      </c>
      <c r="AP24" s="286"/>
      <c r="AQ24" s="284"/>
      <c r="AR24" s="285">
        <f>+AR23/AF23-1</f>
        <v>-4.6137200379614662E-2</v>
      </c>
      <c r="AS24" s="272"/>
      <c r="AT24" s="276"/>
      <c r="AU24" s="272"/>
      <c r="AV24" s="272"/>
      <c r="AW24" s="272"/>
      <c r="AX24" s="272"/>
      <c r="AY24" s="272"/>
    </row>
    <row r="25" spans="1:51" ht="25.15" customHeight="1" thickBot="1" x14ac:dyDescent="0.3">
      <c r="A25" s="25"/>
      <c r="B25" s="287"/>
      <c r="C25" s="269"/>
      <c r="D25" s="269"/>
      <c r="E25" s="269"/>
      <c r="F25" s="269"/>
      <c r="G25" s="269"/>
      <c r="H25" s="269"/>
      <c r="I25" s="269"/>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269"/>
      <c r="AP25" s="269"/>
      <c r="AQ25" s="269"/>
      <c r="AR25" s="269"/>
      <c r="AS25" s="269"/>
      <c r="AT25" s="269"/>
      <c r="AU25" s="269"/>
      <c r="AV25" s="269"/>
      <c r="AW25" s="269"/>
      <c r="AX25" s="269"/>
      <c r="AY25" s="269"/>
    </row>
    <row r="26" spans="1:51" ht="19.5" customHeight="1" thickBot="1" x14ac:dyDescent="0.25">
      <c r="A26" s="359" t="s">
        <v>322</v>
      </c>
      <c r="B26" s="279" t="s">
        <v>101</v>
      </c>
      <c r="C26" s="269"/>
      <c r="D26" s="270">
        <f>+'CES Cloud Metrics'!B10</f>
        <v>95.367000000000004</v>
      </c>
      <c r="E26" s="270">
        <f>+'CES Cloud Metrics'!B22</f>
        <v>104.20099999999999</v>
      </c>
      <c r="F26" s="269"/>
      <c r="G26" s="270">
        <f>+'CES Cloud Metrics'!C10</f>
        <v>122.119</v>
      </c>
      <c r="H26" s="270">
        <f>+'CES Cloud Metrics'!C22</f>
        <v>135.01900000000001</v>
      </c>
      <c r="I26" s="269"/>
      <c r="J26" s="270">
        <f>+'CES Cloud Metrics'!E10</f>
        <v>33.090220000000002</v>
      </c>
      <c r="K26" s="270">
        <f>+'CES Cloud Metrics'!E22</f>
        <v>35.550219999999996</v>
      </c>
      <c r="L26" s="270">
        <f>+'CES Cloud Metrics'!F10</f>
        <v>36.910792999999998</v>
      </c>
      <c r="M26" s="270">
        <f>+'CES Cloud Metrics'!F22</f>
        <v>38.990792999999996</v>
      </c>
      <c r="N26" s="270">
        <f>+'CES Cloud Metrics'!G10</f>
        <v>38.086092999999998</v>
      </c>
      <c r="O26" s="270">
        <f>+'CES Cloud Metrics'!G22</f>
        <v>42.066093000000002</v>
      </c>
      <c r="P26" s="270">
        <f>+'CES Cloud Metrics'!H10</f>
        <v>44.345051999999995</v>
      </c>
      <c r="Q26" s="270">
        <f>+'CES Cloud Metrics'!H22</f>
        <v>50.520052</v>
      </c>
      <c r="R26" s="269"/>
      <c r="S26" s="270">
        <f>+'CES Cloud Metrics'!J10</f>
        <v>152.55015800000001</v>
      </c>
      <c r="T26" s="270">
        <f>+'CES Cloud Metrics'!J22</f>
        <v>167.23515800000001</v>
      </c>
      <c r="U26" s="269"/>
      <c r="V26" s="270">
        <f>+'CES Cloud Metrics'!L10</f>
        <v>47.800999999999995</v>
      </c>
      <c r="W26" s="270">
        <f>+'CES Cloud Metrics'!L22</f>
        <v>56.445</v>
      </c>
      <c r="X26" s="270">
        <f>+'CES Cloud Metrics'!M10</f>
        <v>48.908999999999999</v>
      </c>
      <c r="Y26" s="270">
        <f>+'CES Cloud Metrics'!M22</f>
        <v>55.826999999999998</v>
      </c>
      <c r="Z26" s="270">
        <f>+'CES Cloud Metrics'!N10</f>
        <v>62.533000000000001</v>
      </c>
      <c r="AA26" s="270">
        <f>+'CES Cloud Metrics'!N22</f>
        <v>68.680000000000007</v>
      </c>
      <c r="AB26" s="270">
        <f>+'CES Cloud Metrics'!O10</f>
        <v>61.233999999999995</v>
      </c>
      <c r="AC26" s="270">
        <f>+'CES Cloud Metrics'!O22</f>
        <v>65.870999999999995</v>
      </c>
      <c r="AD26" s="269"/>
      <c r="AE26" s="270">
        <f>+'CES Cloud Metrics'!Q10</f>
        <v>220.47699999999998</v>
      </c>
      <c r="AF26" s="270">
        <f>+'CES Cloud Metrics'!Q22</f>
        <v>246.82299999999998</v>
      </c>
      <c r="AG26" s="269"/>
      <c r="AH26" s="270">
        <f>+'CES Cloud Metrics'!S10</f>
        <v>55.02</v>
      </c>
      <c r="AI26" s="270">
        <f>+'CES Cloud Metrics'!S22</f>
        <v>58.227000000000004</v>
      </c>
      <c r="AJ26" s="270">
        <f>+'CES Cloud Metrics'!T10</f>
        <v>62.557000000000002</v>
      </c>
      <c r="AK26" s="270">
        <f>+'CES Cloud Metrics'!T22</f>
        <v>65.575000000000003</v>
      </c>
      <c r="AL26" s="270">
        <f>+'CES Cloud Metrics'!U10</f>
        <v>73.867999999999995</v>
      </c>
      <c r="AM26" s="270">
        <f>+'CES Cloud Metrics'!U22</f>
        <v>76.033999999999992</v>
      </c>
      <c r="AN26" s="270">
        <f>+'CES Cloud Metrics'!V10</f>
        <v>85.965999999999994</v>
      </c>
      <c r="AO26" s="270">
        <f>+'CES Cloud Metrics'!V22</f>
        <v>87.738</v>
      </c>
      <c r="AP26" s="269"/>
      <c r="AQ26" s="270">
        <f>+'CES Cloud Metrics'!X10</f>
        <v>277.411</v>
      </c>
      <c r="AR26" s="270">
        <f>+'CES Cloud Metrics'!X22</f>
        <v>287.57400000000001</v>
      </c>
      <c r="AS26" s="269"/>
      <c r="AT26" s="362" t="s">
        <v>162</v>
      </c>
      <c r="AU26" s="269"/>
      <c r="AV26" s="269"/>
      <c r="AW26" s="269"/>
      <c r="AX26" s="269"/>
      <c r="AY26" s="269"/>
    </row>
    <row r="27" spans="1:51" ht="17.25" thickBot="1" x14ac:dyDescent="0.25">
      <c r="A27" s="360"/>
      <c r="B27" s="279" t="s">
        <v>320</v>
      </c>
      <c r="C27" s="269"/>
      <c r="D27" s="270">
        <f>+'CES Cloud Metrics'!B7</f>
        <v>47.722999999999999</v>
      </c>
      <c r="E27" s="270">
        <f>+'CES Cloud Metrics'!B19</f>
        <v>52.070999999999998</v>
      </c>
      <c r="F27" s="269"/>
      <c r="G27" s="270">
        <f>+'CES Cloud Metrics'!C7</f>
        <v>77.638000000000005</v>
      </c>
      <c r="H27" s="270">
        <f>+'CES Cloud Metrics'!C19</f>
        <v>85.738</v>
      </c>
      <c r="I27" s="269"/>
      <c r="J27" s="270">
        <f>+'CES Cloud Metrics'!E7</f>
        <v>20.3</v>
      </c>
      <c r="K27" s="270">
        <f>+'CES Cloud Metrics'!E19</f>
        <v>21.4</v>
      </c>
      <c r="L27" s="270">
        <f>+'CES Cloud Metrics'!F7</f>
        <v>21.2</v>
      </c>
      <c r="M27" s="270">
        <f>+'CES Cloud Metrics'!F19</f>
        <v>21.9</v>
      </c>
      <c r="N27" s="270">
        <f>+'CES Cloud Metrics'!G7</f>
        <v>19.8</v>
      </c>
      <c r="O27" s="270">
        <f>+'CES Cloud Metrics'!G19</f>
        <v>22.6</v>
      </c>
      <c r="P27" s="270">
        <f>+'CES Cloud Metrics'!H7</f>
        <v>23.4</v>
      </c>
      <c r="Q27" s="270">
        <f>+'CES Cloud Metrics'!H19</f>
        <v>28.5</v>
      </c>
      <c r="R27" s="269"/>
      <c r="S27" s="270">
        <f>+'CES Cloud Metrics'!J7</f>
        <v>84.715000000000003</v>
      </c>
      <c r="T27" s="270">
        <f>+'CES Cloud Metrics'!J19</f>
        <v>94.396000000000015</v>
      </c>
      <c r="U27" s="269"/>
      <c r="V27" s="270">
        <f>+'CES Cloud Metrics'!L7</f>
        <v>27.204000000000001</v>
      </c>
      <c r="W27" s="270">
        <f>+'CES Cloud Metrics'!L19</f>
        <v>34.433999999999997</v>
      </c>
      <c r="X27" s="270">
        <f>+'CES Cloud Metrics'!M7</f>
        <v>27.207999999999998</v>
      </c>
      <c r="Y27" s="270">
        <f>+'CES Cloud Metrics'!M19</f>
        <v>33.594000000000001</v>
      </c>
      <c r="Z27" s="270">
        <f>+'CES Cloud Metrics'!N7</f>
        <v>30.106999999999999</v>
      </c>
      <c r="AA27" s="270">
        <f>+'CES Cloud Metrics'!N19</f>
        <v>35.765999999999998</v>
      </c>
      <c r="AB27" s="270">
        <f>+'CES Cloud Metrics'!O7</f>
        <v>31.405999999999999</v>
      </c>
      <c r="AC27" s="270">
        <f>+'CES Cloud Metrics'!O19</f>
        <v>35.631</v>
      </c>
      <c r="AD27" s="269"/>
      <c r="AE27" s="270">
        <f>+'CES Cloud Metrics'!Q7</f>
        <v>115.92500000000001</v>
      </c>
      <c r="AF27" s="270">
        <f>+'CES Cloud Metrics'!Q19</f>
        <v>139.42499999999998</v>
      </c>
      <c r="AG27" s="269"/>
      <c r="AH27" s="270">
        <f>+'CES Cloud Metrics'!S7</f>
        <v>33.393000000000001</v>
      </c>
      <c r="AI27" s="270">
        <f>+'CES Cloud Metrics'!S19</f>
        <v>36.274999999999999</v>
      </c>
      <c r="AJ27" s="270">
        <f>+'CES Cloud Metrics'!T7</f>
        <v>35.817999999999998</v>
      </c>
      <c r="AK27" s="270">
        <f>+'CES Cloud Metrics'!T19</f>
        <v>38.524000000000001</v>
      </c>
      <c r="AL27" s="270">
        <f>+'CES Cloud Metrics'!U7</f>
        <v>37.405999999999999</v>
      </c>
      <c r="AM27" s="270">
        <f>+'CES Cloud Metrics'!U19</f>
        <v>39.302999999999997</v>
      </c>
      <c r="AN27" s="270">
        <f>+'CES Cloud Metrics'!V7</f>
        <v>39.344999999999999</v>
      </c>
      <c r="AO27" s="270">
        <f>+'CES Cloud Metrics'!V19</f>
        <v>40.847999999999999</v>
      </c>
      <c r="AP27" s="269"/>
      <c r="AQ27" s="270">
        <f>+'CES Cloud Metrics'!X7</f>
        <v>145.96199999999999</v>
      </c>
      <c r="AR27" s="270">
        <f>+'CES Cloud Metrics'!X19</f>
        <v>154.94999999999999</v>
      </c>
      <c r="AS27" s="269"/>
      <c r="AT27" s="363"/>
      <c r="AU27" s="269"/>
      <c r="AV27" s="269"/>
      <c r="AW27" s="269"/>
      <c r="AX27" s="269"/>
      <c r="AY27" s="269"/>
    </row>
    <row r="28" spans="1:51" ht="17.25" thickBot="1" x14ac:dyDescent="0.25">
      <c r="A28" s="360"/>
      <c r="B28" s="279" t="s">
        <v>321</v>
      </c>
      <c r="C28" s="269"/>
      <c r="D28" s="270">
        <f>+'CES Cloud Metrics'!B8</f>
        <v>8.7710000000000008</v>
      </c>
      <c r="E28" s="270">
        <f>+'CES Cloud Metrics'!B20</f>
        <v>8.7710000000000008</v>
      </c>
      <c r="F28" s="269"/>
      <c r="G28" s="270">
        <f>+'CES Cloud Metrics'!C8</f>
        <v>2.802</v>
      </c>
      <c r="H28" s="270">
        <f>+'CES Cloud Metrics'!C20</f>
        <v>3.202</v>
      </c>
      <c r="I28" s="269"/>
      <c r="J28" s="270">
        <f>+'CES Cloud Metrics'!E8</f>
        <v>4.0902199999999995</v>
      </c>
      <c r="K28" s="270">
        <f>+'CES Cloud Metrics'!E20</f>
        <v>5.0502199999999995</v>
      </c>
      <c r="L28" s="270">
        <f>+'CES Cloud Metrics'!F8</f>
        <v>5.8107930000000003</v>
      </c>
      <c r="M28" s="270">
        <f>+'CES Cloud Metrics'!F20</f>
        <v>6.4907930000000009</v>
      </c>
      <c r="N28" s="270">
        <f>+'CES Cloud Metrics'!G8</f>
        <v>8.1860929999999996</v>
      </c>
      <c r="O28" s="270">
        <f>+'CES Cloud Metrics'!G20</f>
        <v>8.8660930000000011</v>
      </c>
      <c r="P28" s="270">
        <f>+'CES Cloud Metrics'!H8</f>
        <v>8.6450520000000015</v>
      </c>
      <c r="Q28" s="270">
        <f>+'CES Cloud Metrics'!H20</f>
        <v>9.1200520000000012</v>
      </c>
      <c r="R28" s="269"/>
      <c r="S28" s="270">
        <f>+'CES Cloud Metrics'!J8</f>
        <v>26.732157999999998</v>
      </c>
      <c r="T28" s="270">
        <f>+'CES Cloud Metrics'!J20</f>
        <v>29.527158</v>
      </c>
      <c r="U28" s="269"/>
      <c r="V28" s="270">
        <f>+'CES Cloud Metrics'!L8</f>
        <v>6.968</v>
      </c>
      <c r="W28" s="270">
        <f>+'CES Cloud Metrics'!L20</f>
        <v>7.7919999999999998</v>
      </c>
      <c r="X28" s="270">
        <f>+'CES Cloud Metrics'!M8</f>
        <v>7.5369999999999999</v>
      </c>
      <c r="Y28" s="270">
        <f>+'CES Cloud Metrics'!M20</f>
        <v>7.593</v>
      </c>
      <c r="Z28" s="270">
        <f>+'CES Cloud Metrics'!N8</f>
        <v>18.204000000000001</v>
      </c>
      <c r="AA28" s="270">
        <f>+'CES Cloud Metrics'!N20</f>
        <v>18.245999999999999</v>
      </c>
      <c r="AB28" s="270">
        <f>+'CES Cloud Metrics'!O8</f>
        <v>15.308999999999999</v>
      </c>
      <c r="AC28" s="270">
        <f>+'CES Cloud Metrics'!O20</f>
        <v>15.351000000000001</v>
      </c>
      <c r="AD28" s="269"/>
      <c r="AE28" s="270">
        <f>+'CES Cloud Metrics'!Q8</f>
        <v>48.018000000000001</v>
      </c>
      <c r="AF28" s="270">
        <f>+'CES Cloud Metrics'!Q20</f>
        <v>48.981999999999999</v>
      </c>
      <c r="AG28" s="269"/>
      <c r="AH28" s="270">
        <f>+'CES Cloud Metrics'!S8</f>
        <v>7.495000000000001</v>
      </c>
      <c r="AI28" s="270">
        <f>+'CES Cloud Metrics'!S20</f>
        <v>7.5389999999999997</v>
      </c>
      <c r="AJ28" s="270">
        <f>+'CES Cloud Metrics'!T8</f>
        <v>12.411</v>
      </c>
      <c r="AK28" s="270">
        <f>+'CES Cloud Metrics'!T20</f>
        <v>12.455</v>
      </c>
      <c r="AL28" s="270">
        <f>+'CES Cloud Metrics'!U8</f>
        <v>21.577999999999999</v>
      </c>
      <c r="AM28" s="270">
        <f>+'CES Cloud Metrics'!U20</f>
        <v>21.623999999999999</v>
      </c>
      <c r="AN28" s="270">
        <f>+'CES Cloud Metrics'!V8</f>
        <v>30.506</v>
      </c>
      <c r="AO28" s="270">
        <f>+'CES Cloud Metrics'!V20</f>
        <v>30.548999999999999</v>
      </c>
      <c r="AP28" s="269"/>
      <c r="AQ28" s="270">
        <f>+'CES Cloud Metrics'!X8</f>
        <v>71.989999999999995</v>
      </c>
      <c r="AR28" s="270">
        <f>+'CES Cloud Metrics'!X20</f>
        <v>72.167000000000002</v>
      </c>
      <c r="AS28" s="269"/>
      <c r="AT28" s="363"/>
      <c r="AU28" s="269"/>
      <c r="AV28" s="269"/>
      <c r="AW28" s="269"/>
      <c r="AX28" s="269"/>
      <c r="AY28" s="269"/>
    </row>
    <row r="29" spans="1:51" ht="17.25" thickBot="1" x14ac:dyDescent="0.25">
      <c r="A29" s="360"/>
      <c r="B29" s="288" t="s">
        <v>254</v>
      </c>
      <c r="C29" s="269"/>
      <c r="D29" s="270">
        <f>+'CES Cloud Metrics'!B9</f>
        <v>38.873000000000005</v>
      </c>
      <c r="E29" s="270">
        <f>+'CES Cloud Metrics'!B21</f>
        <v>43.359000000000002</v>
      </c>
      <c r="F29" s="269"/>
      <c r="G29" s="270">
        <f>+'CES Cloud Metrics'!C9</f>
        <v>41.679000000000002</v>
      </c>
      <c r="H29" s="270">
        <f>+'CES Cloud Metrics'!C21</f>
        <v>46.079000000000001</v>
      </c>
      <c r="I29" s="269"/>
      <c r="J29" s="270">
        <f>+'CES Cloud Metrics'!E9</f>
        <v>8.6999999999999993</v>
      </c>
      <c r="K29" s="270">
        <f>+'CES Cloud Metrics'!E21</f>
        <v>9.1</v>
      </c>
      <c r="L29" s="270">
        <f>+'CES Cloud Metrics'!F9</f>
        <v>9.9</v>
      </c>
      <c r="M29" s="270">
        <f>+'CES Cloud Metrics'!F21</f>
        <v>10.6</v>
      </c>
      <c r="N29" s="270">
        <f>+'CES Cloud Metrics'!G9</f>
        <v>10.1</v>
      </c>
      <c r="O29" s="270">
        <f>+'CES Cloud Metrics'!G21</f>
        <v>10.6</v>
      </c>
      <c r="P29" s="270">
        <f>+'CES Cloud Metrics'!H9</f>
        <v>12.3</v>
      </c>
      <c r="Q29" s="270">
        <f>+'CES Cloud Metrics'!H21</f>
        <v>12.9</v>
      </c>
      <c r="R29" s="269"/>
      <c r="S29" s="270">
        <f>+'CES Cloud Metrics'!J9</f>
        <v>41.103000000000002</v>
      </c>
      <c r="T29" s="270">
        <f>+'CES Cloud Metrics'!J21</f>
        <v>43.308</v>
      </c>
      <c r="U29" s="269"/>
      <c r="V29" s="270">
        <f>+'CES Cloud Metrics'!L9</f>
        <v>13.629</v>
      </c>
      <c r="W29" s="270">
        <f>+'CES Cloud Metrics'!L21</f>
        <v>14.218999999999999</v>
      </c>
      <c r="X29" s="270">
        <f>+'CES Cloud Metrics'!M9</f>
        <v>14.164</v>
      </c>
      <c r="Y29" s="270">
        <f>+'CES Cloud Metrics'!M21</f>
        <v>14.64</v>
      </c>
      <c r="Z29" s="270">
        <f>+'CES Cloud Metrics'!N9</f>
        <v>14.222</v>
      </c>
      <c r="AA29" s="270">
        <f>+'CES Cloud Metrics'!N21</f>
        <v>14.667999999999999</v>
      </c>
      <c r="AB29" s="270">
        <f>+'CES Cloud Metrics'!O9</f>
        <v>14.519</v>
      </c>
      <c r="AC29" s="270">
        <f>+'CES Cloud Metrics'!O21</f>
        <v>14.888999999999999</v>
      </c>
      <c r="AD29" s="269"/>
      <c r="AE29" s="270">
        <f>+'CES Cloud Metrics'!Q9</f>
        <v>56.533999999999999</v>
      </c>
      <c r="AF29" s="270">
        <f>+'CES Cloud Metrics'!Q21</f>
        <v>58.415999999999997</v>
      </c>
      <c r="AG29" s="269"/>
      <c r="AH29" s="270">
        <f>+'CES Cloud Metrics'!S9</f>
        <v>14.132</v>
      </c>
      <c r="AI29" s="270">
        <f>+'CES Cloud Metrics'!S21</f>
        <v>14.413</v>
      </c>
      <c r="AJ29" s="270">
        <f>+'CES Cloud Metrics'!T9</f>
        <v>14.327999999999999</v>
      </c>
      <c r="AK29" s="270">
        <f>+'CES Cloud Metrics'!T21</f>
        <v>14.596</v>
      </c>
      <c r="AL29" s="270">
        <f>+'CES Cloud Metrics'!U9</f>
        <v>14.884</v>
      </c>
      <c r="AM29" s="270">
        <f>+'CES Cloud Metrics'!U21</f>
        <v>15.106999999999999</v>
      </c>
      <c r="AN29" s="270">
        <f>+'CES Cloud Metrics'!V9</f>
        <v>16.114999999999998</v>
      </c>
      <c r="AO29" s="270">
        <f>+'CES Cloud Metrics'!V21</f>
        <v>16.341000000000001</v>
      </c>
      <c r="AP29" s="269"/>
      <c r="AQ29" s="270">
        <f>+'CES Cloud Metrics'!X9</f>
        <v>59.459000000000003</v>
      </c>
      <c r="AR29" s="270">
        <f>+'CES Cloud Metrics'!X21</f>
        <v>60.457000000000001</v>
      </c>
      <c r="AS29" s="269"/>
      <c r="AT29" s="363"/>
      <c r="AU29" s="269"/>
      <c r="AV29" s="269"/>
      <c r="AW29" s="269"/>
      <c r="AX29" s="269"/>
      <c r="AY29" s="269"/>
    </row>
    <row r="30" spans="1:51" ht="17.25" thickBot="1" x14ac:dyDescent="0.25">
      <c r="A30" s="360"/>
      <c r="B30" s="288"/>
      <c r="C30" s="269"/>
      <c r="D30" s="270"/>
      <c r="E30" s="270"/>
      <c r="F30" s="269"/>
      <c r="G30" s="270"/>
      <c r="H30" s="270"/>
      <c r="I30" s="269"/>
      <c r="J30" s="270"/>
      <c r="K30" s="270"/>
      <c r="L30" s="270"/>
      <c r="M30" s="270"/>
      <c r="N30" s="270"/>
      <c r="O30" s="270"/>
      <c r="P30" s="270"/>
      <c r="Q30" s="270"/>
      <c r="R30" s="269"/>
      <c r="S30" s="270"/>
      <c r="T30" s="270"/>
      <c r="U30" s="269"/>
      <c r="V30" s="270"/>
      <c r="W30" s="270"/>
      <c r="X30" s="270"/>
      <c r="Y30" s="270"/>
      <c r="Z30" s="270"/>
      <c r="AA30" s="270"/>
      <c r="AB30" s="270"/>
      <c r="AC30" s="270"/>
      <c r="AD30" s="269"/>
      <c r="AE30" s="270"/>
      <c r="AF30" s="270"/>
      <c r="AG30" s="269"/>
      <c r="AH30" s="270"/>
      <c r="AI30" s="270"/>
      <c r="AJ30" s="270"/>
      <c r="AK30" s="270"/>
      <c r="AL30" s="270"/>
      <c r="AM30" s="270"/>
      <c r="AN30" s="270"/>
      <c r="AO30" s="270"/>
      <c r="AP30" s="269"/>
      <c r="AQ30" s="270"/>
      <c r="AR30" s="270"/>
      <c r="AS30" s="269"/>
      <c r="AT30" s="363"/>
      <c r="AU30" s="269"/>
      <c r="AV30" s="269"/>
      <c r="AW30" s="269"/>
      <c r="AX30" s="269"/>
      <c r="AY30" s="269"/>
    </row>
    <row r="31" spans="1:51" s="34" customFormat="1" ht="17.25" thickBot="1" x14ac:dyDescent="0.25">
      <c r="A31" s="360"/>
      <c r="B31" s="265" t="s">
        <v>257</v>
      </c>
      <c r="C31" s="272"/>
      <c r="D31" s="278"/>
      <c r="E31" s="278"/>
      <c r="F31" s="272"/>
      <c r="G31" s="273">
        <f>+(G26-D26)/D26</f>
        <v>0.2805163211593108</v>
      </c>
      <c r="H31" s="273">
        <f>+(H26-E26)/E26</f>
        <v>0.29575531904684227</v>
      </c>
      <c r="I31" s="272"/>
      <c r="J31" s="278"/>
      <c r="K31" s="278"/>
      <c r="L31" s="278"/>
      <c r="M31" s="278"/>
      <c r="N31" s="278"/>
      <c r="O31" s="278"/>
      <c r="P31" s="278"/>
      <c r="Q31" s="278"/>
      <c r="R31" s="272"/>
      <c r="S31" s="273">
        <f>+(S26-G26)/G26</f>
        <v>0.24919265634340285</v>
      </c>
      <c r="T31" s="273">
        <f>+(T26-H26)/H26</f>
        <v>0.23860462601559784</v>
      </c>
      <c r="U31" s="272"/>
      <c r="V31" s="273">
        <f t="shared" ref="V31:AA31" si="12">+(V26-J26)/J26</f>
        <v>0.44456579617784325</v>
      </c>
      <c r="W31" s="273">
        <f t="shared" si="12"/>
        <v>0.58775388731771583</v>
      </c>
      <c r="X31" s="273">
        <f t="shared" si="12"/>
        <v>0.32505958352073339</v>
      </c>
      <c r="Y31" s="273">
        <f t="shared" si="12"/>
        <v>0.43179955329454323</v>
      </c>
      <c r="Z31" s="273">
        <f t="shared" si="12"/>
        <v>0.64188539895651686</v>
      </c>
      <c r="AA31" s="273">
        <f t="shared" si="12"/>
        <v>0.63266885755232849</v>
      </c>
      <c r="AB31" s="273">
        <f t="shared" ref="AB31" si="13">+(AB26-P26)/P26</f>
        <v>0.38085304308584417</v>
      </c>
      <c r="AC31" s="273">
        <f t="shared" ref="AC31:AE31" si="14">+(AC26-Q26)/Q26</f>
        <v>0.30385851542670611</v>
      </c>
      <c r="AD31" s="272"/>
      <c r="AE31" s="273">
        <f t="shared" si="14"/>
        <v>0.44527546146494296</v>
      </c>
      <c r="AF31" s="273">
        <f>+(AF26-T26)/T26</f>
        <v>0.47590376899096754</v>
      </c>
      <c r="AG31" s="272"/>
      <c r="AH31" s="273">
        <f t="shared" ref="AH31:AK31" si="15">+(AH26-V26)/V26</f>
        <v>0.15102194514759124</v>
      </c>
      <c r="AI31" s="273">
        <f t="shared" si="15"/>
        <v>3.1570555407919275E-2</v>
      </c>
      <c r="AJ31" s="273">
        <f t="shared" si="15"/>
        <v>0.27904884581569861</v>
      </c>
      <c r="AK31" s="273">
        <f t="shared" si="15"/>
        <v>0.17461085138015664</v>
      </c>
      <c r="AL31" s="273">
        <f>+(AL26-Z26)/Z26</f>
        <v>0.18126429245358441</v>
      </c>
      <c r="AM31" s="273">
        <f>+(AM26-AA26)/AA26</f>
        <v>0.10707629586488038</v>
      </c>
      <c r="AN31" s="273">
        <f>+(AN26-AB26)/AB26</f>
        <v>0.40389326191331615</v>
      </c>
      <c r="AO31" s="273">
        <f>+(AO26-AC26)/AC26</f>
        <v>0.33196702646080983</v>
      </c>
      <c r="AP31" s="272"/>
      <c r="AQ31" s="273">
        <f>+(AQ26-AE26)/AE26</f>
        <v>0.25823101729432107</v>
      </c>
      <c r="AR31" s="273">
        <f>+(AR26-AF26)/AF26</f>
        <v>0.16510211771188274</v>
      </c>
      <c r="AS31" s="272"/>
      <c r="AT31" s="363"/>
      <c r="AU31" s="272"/>
      <c r="AV31" s="272"/>
      <c r="AW31" s="272"/>
      <c r="AX31" s="272"/>
      <c r="AY31" s="272"/>
    </row>
    <row r="32" spans="1:51" s="34" customFormat="1" ht="17.25" thickBot="1" x14ac:dyDescent="0.25">
      <c r="A32" s="361"/>
      <c r="B32" s="265" t="s">
        <v>255</v>
      </c>
      <c r="C32" s="272"/>
      <c r="D32" s="278"/>
      <c r="E32" s="278"/>
      <c r="F32" s="272"/>
      <c r="G32" s="273">
        <f>+((G27+G28)-(D27+D28))/(D27+D28)</f>
        <v>0.42386802138280194</v>
      </c>
      <c r="H32" s="273">
        <f>+((H27+H28)-(E27+E28))/(E27+E28)</f>
        <v>0.4618191380953946</v>
      </c>
      <c r="I32" s="272"/>
      <c r="J32" s="278"/>
      <c r="K32" s="278"/>
      <c r="L32" s="278"/>
      <c r="M32" s="278"/>
      <c r="N32" s="278"/>
      <c r="O32" s="278"/>
      <c r="P32" s="278"/>
      <c r="Q32" s="278"/>
      <c r="R32" s="272"/>
      <c r="S32" s="273">
        <f>+((S27+S28)-(G27+G28))/(G27+G28)</f>
        <v>0.38546939333664826</v>
      </c>
      <c r="T32" s="273">
        <f>+((T27+T28)-(H27+H28))/(H27+H28)</f>
        <v>0.39333436024286056</v>
      </c>
      <c r="U32" s="272"/>
      <c r="V32" s="273">
        <f t="shared" ref="V32:AA32" si="16">+((V27+V28)-(J27+J28))/(J27+J28)</f>
        <v>0.40105337303230548</v>
      </c>
      <c r="W32" s="273">
        <f t="shared" si="16"/>
        <v>0.59643284630524818</v>
      </c>
      <c r="X32" s="273">
        <f t="shared" si="16"/>
        <v>0.28633765028668345</v>
      </c>
      <c r="Y32" s="273">
        <f t="shared" si="16"/>
        <v>0.45071678695272793</v>
      </c>
      <c r="Z32" s="273">
        <f t="shared" si="16"/>
        <v>0.72625024865028498</v>
      </c>
      <c r="AA32" s="273">
        <f t="shared" si="16"/>
        <v>0.71651434450409845</v>
      </c>
      <c r="AB32" s="273">
        <f t="shared" ref="AB32" si="17">+((AB27+AB28)-(P27+P28))/(P27+P28)</f>
        <v>0.45779136198624359</v>
      </c>
      <c r="AC32" s="273">
        <f t="shared" ref="AC32:AF32" si="18">+((AC27+AC28)-(Q27+Q28))/(Q27+Q28)</f>
        <v>0.35518153988729195</v>
      </c>
      <c r="AD32" s="272"/>
      <c r="AE32" s="273">
        <f t="shared" si="18"/>
        <v>0.47103796042964152</v>
      </c>
      <c r="AF32" s="273">
        <f t="shared" si="18"/>
        <v>0.52035344354281188</v>
      </c>
      <c r="AG32" s="272"/>
      <c r="AH32" s="273">
        <f t="shared" ref="AH32:AK32" si="19">+((AH27+AH28)-(V27+V28))/(V27+V28)</f>
        <v>0.19653517499707387</v>
      </c>
      <c r="AI32" s="273">
        <f t="shared" si="19"/>
        <v>3.760716146450057E-2</v>
      </c>
      <c r="AJ32" s="273">
        <f t="shared" si="19"/>
        <v>0.3880846164915816</v>
      </c>
      <c r="AK32" s="273">
        <f t="shared" si="19"/>
        <v>0.23774491951343876</v>
      </c>
      <c r="AL32" s="273">
        <f>+((AL27+AL28)-(Z27+Z28))/(Z27+Z28)</f>
        <v>0.2209227712115252</v>
      </c>
      <c r="AM32" s="273">
        <f>+((AM27+AM28)-(AA27+AA28))/(AA27+AA28)</f>
        <v>0.12802710508775814</v>
      </c>
      <c r="AN32" s="273">
        <f>+((AN27+AN28)-(AB27+AB28))/(AB27+AB28)</f>
        <v>0.49525848228620367</v>
      </c>
      <c r="AO32" s="273">
        <f>+((AO27+AO28)-(AC27+AC28))/(AC27+AC28)</f>
        <v>0.40043544780510754</v>
      </c>
      <c r="AP32" s="272"/>
      <c r="AQ32" s="273">
        <f>+((AQ27+AQ28)-(AE27+AE28))/(AE27+AE28)</f>
        <v>0.32943767040983746</v>
      </c>
      <c r="AR32" s="273">
        <f>+((AR27+AR28)-(AF27+AF28))/(AF27+AF28)</f>
        <v>0.20545945745115635</v>
      </c>
      <c r="AS32" s="272"/>
      <c r="AT32" s="364"/>
      <c r="AU32" s="272"/>
      <c r="AV32" s="272"/>
      <c r="AW32" s="272"/>
      <c r="AX32" s="272"/>
      <c r="AY32" s="272"/>
    </row>
    <row r="33" spans="1:51" ht="15" x14ac:dyDescent="0.25">
      <c r="A33" s="25"/>
      <c r="B33" s="287"/>
      <c r="C33" s="269"/>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69"/>
      <c r="AD33" s="269"/>
      <c r="AE33" s="269"/>
      <c r="AF33" s="269"/>
      <c r="AG33" s="269"/>
      <c r="AH33" s="269"/>
      <c r="AI33" s="269"/>
      <c r="AJ33" s="269"/>
      <c r="AK33" s="269"/>
      <c r="AL33" s="269"/>
      <c r="AM33" s="269"/>
      <c r="AN33" s="269"/>
      <c r="AO33" s="269"/>
      <c r="AP33" s="269"/>
      <c r="AQ33" s="269"/>
      <c r="AR33" s="269"/>
      <c r="AS33" s="269"/>
      <c r="AT33" s="269"/>
      <c r="AU33" s="269"/>
      <c r="AV33" s="269"/>
      <c r="AW33" s="269"/>
      <c r="AX33" s="269"/>
      <c r="AY33" s="269"/>
    </row>
    <row r="34" spans="1:51" ht="15.75" thickBot="1" x14ac:dyDescent="0.3">
      <c r="A34" s="25"/>
      <c r="B34" s="287"/>
      <c r="C34" s="269"/>
      <c r="D34" s="269"/>
      <c r="E34" s="269"/>
      <c r="F34" s="269"/>
      <c r="G34" s="269"/>
      <c r="H34" s="269"/>
      <c r="I34" s="269"/>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69"/>
      <c r="AH34" s="269"/>
      <c r="AI34" s="269"/>
      <c r="AJ34" s="269"/>
      <c r="AK34" s="269"/>
      <c r="AL34" s="269"/>
      <c r="AM34" s="269"/>
      <c r="AN34" s="269"/>
      <c r="AO34" s="269"/>
      <c r="AP34" s="269"/>
      <c r="AQ34" s="269"/>
      <c r="AR34" s="269"/>
      <c r="AS34" s="269"/>
      <c r="AT34" s="269"/>
      <c r="AU34" s="269"/>
      <c r="AV34" s="269"/>
      <c r="AW34" s="269"/>
      <c r="AX34" s="269"/>
      <c r="AY34" s="269"/>
    </row>
    <row r="35" spans="1:51" ht="19.5" customHeight="1" thickBot="1" x14ac:dyDescent="0.25">
      <c r="A35" s="348" t="s">
        <v>94</v>
      </c>
      <c r="B35" s="268" t="s">
        <v>221</v>
      </c>
      <c r="C35" s="269"/>
      <c r="D35" s="270">
        <f>+'CES Operating Expenses'!B10</f>
        <v>98.222999999999999</v>
      </c>
      <c r="E35" s="270">
        <f>+'CES Operating Expenses'!B18</f>
        <v>89.141000000000005</v>
      </c>
      <c r="F35" s="269"/>
      <c r="G35" s="270">
        <f>+'CES Operating Expenses'!C10</f>
        <v>105.2</v>
      </c>
      <c r="H35" s="270">
        <f>+'CES Operating Expenses'!C18</f>
        <v>96</v>
      </c>
      <c r="I35" s="269"/>
      <c r="J35" s="270">
        <f>+'CES Operating Expenses'!E10</f>
        <v>28.7</v>
      </c>
      <c r="K35" s="270">
        <f>+'CES Operating Expenses'!E18</f>
        <v>27.7</v>
      </c>
      <c r="L35" s="270">
        <f>+'CES Operating Expenses'!F10</f>
        <v>29</v>
      </c>
      <c r="M35" s="270">
        <f>+'CES Operating Expenses'!F18</f>
        <v>27</v>
      </c>
      <c r="N35" s="270">
        <f>+'CES Operating Expenses'!G10</f>
        <v>29.779</v>
      </c>
      <c r="O35" s="270">
        <f>+'CES Operating Expenses'!G18</f>
        <v>27.779</v>
      </c>
      <c r="P35" s="270">
        <f>+'CES Operating Expenses'!H10</f>
        <v>29.2</v>
      </c>
      <c r="Q35" s="270">
        <f>+'CES Operating Expenses'!H18</f>
        <v>27.3</v>
      </c>
      <c r="R35" s="269"/>
      <c r="S35" s="270">
        <f>+'CES Operating Expenses'!J10</f>
        <v>116.60000000000001</v>
      </c>
      <c r="T35" s="270">
        <f>+'CES Operating Expenses'!J18</f>
        <v>109.7</v>
      </c>
      <c r="U35" s="269"/>
      <c r="V35" s="270">
        <f>+'CES Operating Expenses'!L10</f>
        <v>32.200000000000003</v>
      </c>
      <c r="W35" s="270">
        <f>+'CES Operating Expenses'!L18</f>
        <v>30.1</v>
      </c>
      <c r="X35" s="270">
        <f>+'CES Operating Expenses'!M10</f>
        <v>33</v>
      </c>
      <c r="Y35" s="270">
        <f>+'CES Operating Expenses'!M18</f>
        <v>30.597000000000001</v>
      </c>
      <c r="Z35" s="270">
        <f>+'CES Operating Expenses'!N10</f>
        <v>31.486000000000001</v>
      </c>
      <c r="AA35" s="270">
        <f>+'CES Operating Expenses'!N18</f>
        <v>29.254999999999999</v>
      </c>
      <c r="AB35" s="270">
        <f>+'CES Operating Expenses'!O10</f>
        <v>30.395999999999997</v>
      </c>
      <c r="AC35" s="270">
        <f>+'CES Operating Expenses'!O18</f>
        <v>26.988999999999997</v>
      </c>
      <c r="AD35" s="269"/>
      <c r="AE35" s="270">
        <f>+'CES Operating Expenses'!Q10</f>
        <v>127.065</v>
      </c>
      <c r="AF35" s="270">
        <f>+'CES Operating Expenses'!Q18</f>
        <v>116.91200000000001</v>
      </c>
      <c r="AG35" s="269"/>
      <c r="AH35" s="270">
        <f>+'CES Operating Expenses'!S10</f>
        <v>30.119</v>
      </c>
      <c r="AI35" s="270">
        <f>+'CES Operating Expenses'!S18</f>
        <v>27.792000000000002</v>
      </c>
      <c r="AJ35" s="270">
        <f>+'CES Operating Expenses'!T10</f>
        <v>28.536999999999999</v>
      </c>
      <c r="AK35" s="270">
        <f>+'CES Operating Expenses'!T18</f>
        <v>26.274999999999999</v>
      </c>
      <c r="AL35" s="270">
        <f>+'CES Operating Expenses'!U10</f>
        <v>31.334</v>
      </c>
      <c r="AM35" s="270">
        <f>+'CES Operating Expenses'!U18</f>
        <v>29.224</v>
      </c>
      <c r="AN35" s="270">
        <f>+'CES Operating Expenses'!V10</f>
        <v>30.986000000000001</v>
      </c>
      <c r="AO35" s="270">
        <f>+'CES Operating Expenses'!V18</f>
        <v>29.755000000000003</v>
      </c>
      <c r="AP35" s="269"/>
      <c r="AQ35" s="270">
        <f>+'CES Operating Expenses'!X10</f>
        <v>120.976</v>
      </c>
      <c r="AR35" s="270">
        <f>+'CES Operating Expenses'!X18</f>
        <v>113.04599999999999</v>
      </c>
      <c r="AS35" s="269"/>
      <c r="AT35" s="369" t="s">
        <v>216</v>
      </c>
      <c r="AU35" s="269"/>
      <c r="AV35" s="269"/>
      <c r="AW35" s="269"/>
      <c r="AX35" s="269"/>
      <c r="AY35" s="269"/>
    </row>
    <row r="36" spans="1:51" s="34" customFormat="1" ht="19.5" customHeight="1" thickBot="1" x14ac:dyDescent="0.25">
      <c r="A36" s="349"/>
      <c r="B36" s="277" t="s">
        <v>92</v>
      </c>
      <c r="C36" s="272"/>
      <c r="D36" s="273">
        <f>+'CES Operating Expenses'!B11</f>
        <v>0.13900000000000001</v>
      </c>
      <c r="E36" s="273">
        <f>+'CES Operating Expenses'!B19</f>
        <v>0.124</v>
      </c>
      <c r="F36" s="272"/>
      <c r="G36" s="273">
        <f>+'CES Operating Expenses'!C11</f>
        <v>0.14199999999999999</v>
      </c>
      <c r="H36" s="273">
        <f>+'CES Operating Expenses'!C19</f>
        <v>0.127</v>
      </c>
      <c r="I36" s="289"/>
      <c r="J36" s="273">
        <f>+'CES Operating Expenses'!E11</f>
        <v>0.154</v>
      </c>
      <c r="K36" s="273">
        <f>+'CES Operating Expenses'!E19</f>
        <v>0.14599999999999999</v>
      </c>
      <c r="L36" s="273">
        <f>+'CES Operating Expenses'!F11</f>
        <v>0.14399999999999999</v>
      </c>
      <c r="M36" s="273">
        <f>+'CES Operating Expenses'!F19</f>
        <v>0.13300000000000001</v>
      </c>
      <c r="N36" s="273">
        <f>+'CES Operating Expenses'!G11</f>
        <v>0.151</v>
      </c>
      <c r="O36" s="273">
        <f>+'CES Operating Expenses'!G19</f>
        <v>0.13800000000000001</v>
      </c>
      <c r="P36" s="273">
        <f>+'CES Operating Expenses'!H11</f>
        <v>0.13800000000000001</v>
      </c>
      <c r="Q36" s="273">
        <f>+'CES Operating Expenses'!H19</f>
        <v>0.126</v>
      </c>
      <c r="R36" s="289"/>
      <c r="S36" s="273">
        <f>+'CES Operating Expenses'!J11</f>
        <v>0.14599999999999999</v>
      </c>
      <c r="T36" s="273">
        <f>+'CES Operating Expenses'!J19</f>
        <v>0.13500000000000001</v>
      </c>
      <c r="U36" s="289"/>
      <c r="V36" s="273">
        <f>+'CES Operating Expenses'!L11</f>
        <v>0.155</v>
      </c>
      <c r="W36" s="273">
        <f>+'CES Operating Expenses'!L19</f>
        <v>0.13900000000000001</v>
      </c>
      <c r="X36" s="273">
        <f>+'CES Operating Expenses'!M11</f>
        <v>0.156</v>
      </c>
      <c r="Y36" s="273">
        <f>+'CES Operating Expenses'!M19</f>
        <v>0.14000000000000001</v>
      </c>
      <c r="Z36" s="273">
        <f>+'CES Operating Expenses'!N11</f>
        <v>0.14399999999999999</v>
      </c>
      <c r="AA36" s="273">
        <f>+'CES Operating Expenses'!N19</f>
        <v>0.13100000000000001</v>
      </c>
      <c r="AB36" s="273">
        <f>+'CES Operating Expenses'!O11</f>
        <v>0.14499999999999999</v>
      </c>
      <c r="AC36" s="273">
        <f>+'CES Operating Expenses'!O19</f>
        <v>0.126</v>
      </c>
      <c r="AD36" s="289"/>
      <c r="AE36" s="273">
        <f>+'CES Operating Expenses'!Q11</f>
        <v>0.15</v>
      </c>
      <c r="AF36" s="273">
        <f>+'CES Operating Expenses'!Q19</f>
        <v>0.13400000000000001</v>
      </c>
      <c r="AG36" s="272"/>
      <c r="AH36" s="273">
        <f>+'CES Operating Expenses'!S11</f>
        <v>0.16200000000000001</v>
      </c>
      <c r="AI36" s="273">
        <f>+'CES Operating Expenses'!S19</f>
        <v>0.14699999999999999</v>
      </c>
      <c r="AJ36" s="273">
        <f>+'CES Operating Expenses'!T11</f>
        <v>0.14000000000000001</v>
      </c>
      <c r="AK36" s="273">
        <f>+'CES Operating Expenses'!T19</f>
        <v>0.127</v>
      </c>
      <c r="AL36" s="273">
        <f>+'CES Operating Expenses'!U11</f>
        <v>0.14599999999999999</v>
      </c>
      <c r="AM36" s="273">
        <f>+'CES Operating Expenses'!U19</f>
        <v>0.13400000000000001</v>
      </c>
      <c r="AN36" s="273">
        <f>+'CES Operating Expenses'!V11</f>
        <v>0.13800000000000001</v>
      </c>
      <c r="AO36" s="273">
        <f>+'CES Operating Expenses'!V19</f>
        <v>0.13100000000000001</v>
      </c>
      <c r="AP36" s="289"/>
      <c r="AQ36" s="273">
        <f>+'CES Operating Expenses'!X11</f>
        <v>0.14599999999999999</v>
      </c>
      <c r="AR36" s="273">
        <f>+'CES Operating Expenses'!X19</f>
        <v>0.13400000000000001</v>
      </c>
      <c r="AS36" s="272"/>
      <c r="AT36" s="370"/>
      <c r="AU36" s="272"/>
      <c r="AV36" s="272"/>
      <c r="AW36" s="272"/>
      <c r="AX36" s="272"/>
      <c r="AY36" s="272"/>
    </row>
    <row r="37" spans="1:51" ht="19.5" customHeight="1" thickBot="1" x14ac:dyDescent="0.25">
      <c r="A37" s="349"/>
      <c r="B37" s="268" t="s">
        <v>222</v>
      </c>
      <c r="C37" s="269"/>
      <c r="D37" s="270">
        <f>+'CES Operating Expenses'!B26</f>
        <v>272.12100000000004</v>
      </c>
      <c r="E37" s="270">
        <f>+'CES Operating Expenses'!B35</f>
        <v>224.87000000000003</v>
      </c>
      <c r="F37" s="269"/>
      <c r="G37" s="270">
        <f>+'CES Operating Expenses'!C26</f>
        <v>276.95600000000002</v>
      </c>
      <c r="H37" s="270">
        <f>+'CES Operating Expenses'!C35</f>
        <v>234.32700000000003</v>
      </c>
      <c r="I37" s="269"/>
      <c r="J37" s="270">
        <f>+'CES Operating Expenses'!E26</f>
        <v>71.212000000000003</v>
      </c>
      <c r="K37" s="270">
        <f>+'CES Operating Expenses'!E35</f>
        <v>59.660000000000004</v>
      </c>
      <c r="L37" s="270">
        <f>+'CES Operating Expenses'!F26</f>
        <v>68.852999999999994</v>
      </c>
      <c r="M37" s="270">
        <f>+'CES Operating Expenses'!F35</f>
        <v>60.071999999999996</v>
      </c>
      <c r="N37" s="270">
        <f>+'CES Operating Expenses'!G26</f>
        <v>66.462000000000003</v>
      </c>
      <c r="O37" s="270">
        <f>+'CES Operating Expenses'!G35</f>
        <v>57.552999999999997</v>
      </c>
      <c r="P37" s="270">
        <f>+'CES Operating Expenses'!H26</f>
        <v>75.063999999999993</v>
      </c>
      <c r="Q37" s="270">
        <f>+'CES Operating Expenses'!H35</f>
        <v>63.215999999999994</v>
      </c>
      <c r="R37" s="269"/>
      <c r="S37" s="270">
        <f>+'CES Operating Expenses'!J26</f>
        <v>281.04200000000003</v>
      </c>
      <c r="T37" s="270">
        <f>+'CES Operating Expenses'!J35</f>
        <v>240.12500000000003</v>
      </c>
      <c r="U37" s="269"/>
      <c r="V37" s="270">
        <f>+'CES Operating Expenses'!L26</f>
        <v>80.078000000000003</v>
      </c>
      <c r="W37" s="270">
        <f>+'CES Operating Expenses'!L35</f>
        <v>67.531000000000006</v>
      </c>
      <c r="X37" s="270">
        <f>+'CES Operating Expenses'!M26</f>
        <v>84.443999999999988</v>
      </c>
      <c r="Y37" s="270">
        <f>+'CES Operating Expenses'!M35</f>
        <v>69.020999999999987</v>
      </c>
      <c r="Z37" s="270">
        <f>+'CES Operating Expenses'!N26</f>
        <v>77.841999999999999</v>
      </c>
      <c r="AA37" s="270">
        <f>+'CES Operating Expenses'!N35</f>
        <v>65.603999999999999</v>
      </c>
      <c r="AB37" s="270">
        <f>+'CES Operating Expenses'!O26</f>
        <v>79.195000000000007</v>
      </c>
      <c r="AC37" s="270">
        <f>+'CES Operating Expenses'!O35</f>
        <v>61.300000000000004</v>
      </c>
      <c r="AD37" s="269"/>
      <c r="AE37" s="270">
        <f>+'CES Operating Expenses'!Q26</f>
        <v>321.56200000000001</v>
      </c>
      <c r="AF37" s="270">
        <f>+'CES Operating Expenses'!Q35</f>
        <v>263.387</v>
      </c>
      <c r="AG37" s="269"/>
      <c r="AH37" s="270">
        <f>+'CES Operating Expenses'!S26</f>
        <v>72.262</v>
      </c>
      <c r="AI37" s="270">
        <f>+'CES Operating Expenses'!S35</f>
        <v>60.563000000000002</v>
      </c>
      <c r="AJ37" s="270">
        <f>+'CES Operating Expenses'!T26</f>
        <v>70.048000000000002</v>
      </c>
      <c r="AK37" s="270">
        <f>+'CES Operating Expenses'!T35</f>
        <v>56.407000000000004</v>
      </c>
      <c r="AL37" s="270">
        <f>+'CES Operating Expenses'!U26</f>
        <v>76.67</v>
      </c>
      <c r="AM37" s="270">
        <f>+'CES Operating Expenses'!U35</f>
        <v>58.507000000000005</v>
      </c>
      <c r="AN37" s="270">
        <f>+'CES Operating Expenses'!V26</f>
        <v>94.580000000000013</v>
      </c>
      <c r="AO37" s="270">
        <f>+'CES Operating Expenses'!V35</f>
        <v>70.782000000000011</v>
      </c>
      <c r="AP37" s="269"/>
      <c r="AQ37" s="270">
        <f>+'CES Operating Expenses'!X26</f>
        <v>313.56</v>
      </c>
      <c r="AR37" s="270">
        <f>+'CES Operating Expenses'!X35</f>
        <v>246.25900000000001</v>
      </c>
      <c r="AS37" s="269"/>
      <c r="AT37" s="370"/>
      <c r="AU37" s="269"/>
      <c r="AV37" s="269"/>
      <c r="AW37" s="269"/>
      <c r="AX37" s="269"/>
      <c r="AY37" s="269"/>
    </row>
    <row r="38" spans="1:51" s="34" customFormat="1" ht="19.5" customHeight="1" thickBot="1" x14ac:dyDescent="0.25">
      <c r="A38" s="350"/>
      <c r="B38" s="277" t="s">
        <v>92</v>
      </c>
      <c r="C38" s="272"/>
      <c r="D38" s="273">
        <f>+'CES Operating Expenses'!B27</f>
        <v>0.38500000000000001</v>
      </c>
      <c r="E38" s="273">
        <f>+'CES Operating Expenses'!B36</f>
        <v>0.314</v>
      </c>
      <c r="F38" s="272"/>
      <c r="G38" s="273">
        <f>+'CES Operating Expenses'!C27</f>
        <v>0.374</v>
      </c>
      <c r="H38" s="273">
        <f>+'CES Operating Expenses'!C36</f>
        <v>0.31</v>
      </c>
      <c r="I38" s="289"/>
      <c r="J38" s="273">
        <f>+'CES Operating Expenses'!E27</f>
        <v>0.38200000000000001</v>
      </c>
      <c r="K38" s="273">
        <f>+'CES Operating Expenses'!E36</f>
        <v>0.315</v>
      </c>
      <c r="L38" s="273">
        <f>+'CES Operating Expenses'!F27</f>
        <v>0.34300000000000003</v>
      </c>
      <c r="M38" s="273">
        <f>+'CES Operating Expenses'!F36</f>
        <v>0.29599999999999999</v>
      </c>
      <c r="N38" s="273">
        <f>+'CES Operating Expenses'!G27</f>
        <v>0.33700000000000002</v>
      </c>
      <c r="O38" s="273">
        <f>+'CES Operating Expenses'!G36</f>
        <v>0.28599999999999998</v>
      </c>
      <c r="P38" s="273">
        <f>+'CES Operating Expenses'!H27</f>
        <v>0.35499999999999998</v>
      </c>
      <c r="Q38" s="273">
        <f>+'CES Operating Expenses'!H36</f>
        <v>0.28999999999999998</v>
      </c>
      <c r="R38" s="289"/>
      <c r="S38" s="273">
        <f>+'CES Operating Expenses'!J27</f>
        <v>0.35299999999999998</v>
      </c>
      <c r="T38" s="273">
        <f>+'CES Operating Expenses'!J36</f>
        <v>0.29599999999999999</v>
      </c>
      <c r="U38" s="289"/>
      <c r="V38" s="273">
        <f>+'CES Operating Expenses'!L27</f>
        <v>0.38700000000000001</v>
      </c>
      <c r="W38" s="273">
        <f>+'CES Operating Expenses'!L36</f>
        <v>0.312</v>
      </c>
      <c r="X38" s="273">
        <f>+'CES Operating Expenses'!M27</f>
        <v>0.39900000000000002</v>
      </c>
      <c r="Y38" s="273">
        <f>+'CES Operating Expenses'!M36</f>
        <v>0.316</v>
      </c>
      <c r="Z38" s="273">
        <f>+'CES Operating Expenses'!N27</f>
        <v>0.35699999999999998</v>
      </c>
      <c r="AA38" s="273">
        <f>+'CES Operating Expenses'!N36</f>
        <v>0.29299999999999998</v>
      </c>
      <c r="AB38" s="273">
        <f>+'CES Operating Expenses'!O27</f>
        <v>0.377</v>
      </c>
      <c r="AC38" s="273">
        <f>+'CES Operating Expenses'!O36</f>
        <v>0.28499999999999998</v>
      </c>
      <c r="AD38" s="289"/>
      <c r="AE38" s="273">
        <f>+'CES Operating Expenses'!Q27</f>
        <v>0.38</v>
      </c>
      <c r="AF38" s="273">
        <f>+'CES Operating Expenses'!Q36</f>
        <v>0.30199999999999999</v>
      </c>
      <c r="AG38" s="272"/>
      <c r="AH38" s="273">
        <f>+'CES Operating Expenses'!S27</f>
        <v>0.38900000000000001</v>
      </c>
      <c r="AI38" s="273">
        <f>+'CES Operating Expenses'!S36</f>
        <v>0.32</v>
      </c>
      <c r="AJ38" s="273">
        <f>+'CES Operating Expenses'!T27</f>
        <v>0.34300000000000003</v>
      </c>
      <c r="AK38" s="273">
        <f>+'CES Operating Expenses'!T36</f>
        <v>0.27200000000000002</v>
      </c>
      <c r="AL38" s="273">
        <f>+'CES Operating Expenses'!U27</f>
        <v>0.35599999999999998</v>
      </c>
      <c r="AM38" s="273">
        <f>+'CES Operating Expenses'!U36</f>
        <v>0.26900000000000002</v>
      </c>
      <c r="AN38" s="273">
        <f>+'CES Operating Expenses'!V27</f>
        <v>0.42</v>
      </c>
      <c r="AO38" s="273">
        <f>+'CES Operating Expenses'!V36</f>
        <v>0.312</v>
      </c>
      <c r="AP38" s="289"/>
      <c r="AQ38" s="273">
        <f>+'CES Operating Expenses'!X27</f>
        <v>0.378</v>
      </c>
      <c r="AR38" s="273">
        <f>+'CES Operating Expenses'!X36</f>
        <v>0.29299999999999998</v>
      </c>
      <c r="AS38" s="272"/>
      <c r="AT38" s="371"/>
      <c r="AU38" s="272"/>
      <c r="AV38" s="272"/>
      <c r="AW38" s="272"/>
      <c r="AX38" s="272"/>
      <c r="AY38" s="272"/>
    </row>
    <row r="39" spans="1:51" ht="25.15" customHeight="1" thickBot="1" x14ac:dyDescent="0.3">
      <c r="A39" s="25"/>
      <c r="B39" s="287"/>
      <c r="C39" s="269"/>
      <c r="D39" s="269"/>
      <c r="E39" s="269"/>
      <c r="F39" s="269"/>
      <c r="G39" s="269"/>
      <c r="H39" s="269"/>
      <c r="I39" s="269"/>
      <c r="J39" s="269"/>
      <c r="K39" s="269"/>
      <c r="L39" s="269"/>
      <c r="M39" s="269"/>
      <c r="N39" s="269"/>
      <c r="O39" s="269"/>
      <c r="P39" s="269"/>
      <c r="Q39" s="269"/>
      <c r="R39" s="269"/>
      <c r="S39" s="269"/>
      <c r="T39" s="269"/>
      <c r="U39" s="269"/>
      <c r="V39" s="269"/>
      <c r="W39" s="269"/>
      <c r="X39" s="269"/>
      <c r="Y39" s="269"/>
      <c r="Z39" s="269"/>
      <c r="AA39" s="269"/>
      <c r="AB39" s="269"/>
      <c r="AC39" s="269"/>
      <c r="AD39" s="269"/>
      <c r="AE39" s="269"/>
      <c r="AF39" s="269"/>
      <c r="AG39" s="269"/>
      <c r="AH39" s="269"/>
      <c r="AI39" s="269"/>
      <c r="AJ39" s="269"/>
      <c r="AK39" s="269"/>
      <c r="AL39" s="269"/>
      <c r="AM39" s="269"/>
      <c r="AN39" s="269"/>
      <c r="AO39" s="269"/>
      <c r="AP39" s="269"/>
      <c r="AQ39" s="269"/>
      <c r="AR39" s="269"/>
      <c r="AS39" s="269"/>
      <c r="AT39" s="269"/>
      <c r="AU39" s="269"/>
      <c r="AV39" s="269"/>
      <c r="AW39" s="269"/>
      <c r="AX39" s="269"/>
      <c r="AY39" s="269"/>
    </row>
    <row r="40" spans="1:51" ht="19.5" customHeight="1" thickBot="1" x14ac:dyDescent="0.25">
      <c r="A40" s="348" t="s">
        <v>95</v>
      </c>
      <c r="B40" s="205" t="s">
        <v>223</v>
      </c>
      <c r="D40" s="21">
        <f>+'CES Gross Profit'!B15</f>
        <v>442.67600000000004</v>
      </c>
      <c r="E40" s="21">
        <f>+'CES Gross Profit'!B24</f>
        <v>482.71300000000008</v>
      </c>
      <c r="G40" s="21">
        <f>+'CES Gross Profit'!C15</f>
        <v>469.52699999999993</v>
      </c>
      <c r="H40" s="21">
        <f>+'CES Gross Profit'!C24</f>
        <v>515.12699999999995</v>
      </c>
      <c r="J40" s="21">
        <f>+'CES Gross Profit'!E15</f>
        <v>118.693</v>
      </c>
      <c r="K40" s="21">
        <f>+'CES Gross Profit'!E24</f>
        <v>126.593</v>
      </c>
      <c r="L40" s="21">
        <f>+'CES Gross Profit'!F15</f>
        <v>131.41800000000001</v>
      </c>
      <c r="M40" s="21">
        <f>+'CES Gross Profit'!F24</f>
        <v>139.71800000000002</v>
      </c>
      <c r="N40" s="21">
        <f>+'CES Gross Profit'!G15</f>
        <v>129.28470000000002</v>
      </c>
      <c r="O40" s="21">
        <f>+'CES Gross Profit'!G24</f>
        <v>138.9847</v>
      </c>
      <c r="P40" s="21">
        <f>+'CES Gross Profit'!H15</f>
        <v>141.655</v>
      </c>
      <c r="Q40" s="21">
        <f>+'CES Gross Profit'!H24</f>
        <v>154.45500000000001</v>
      </c>
      <c r="S40" s="21">
        <f>+'CES Gross Profit'!J15</f>
        <v>521.09500000000003</v>
      </c>
      <c r="T40" s="21">
        <f>+'CES Gross Profit'!J24</f>
        <v>559.79500000000007</v>
      </c>
      <c r="V40" s="21">
        <f>+'CES Gross Profit'!L15</f>
        <v>132.20699999999999</v>
      </c>
      <c r="W40" s="21">
        <f>+'CES Gross Profit'!L24</f>
        <v>147.80699999999999</v>
      </c>
      <c r="X40" s="21">
        <f>+'CES Gross Profit'!M15</f>
        <v>134.98099999999999</v>
      </c>
      <c r="Y40" s="21">
        <f>+'CES Gross Profit'!M24</f>
        <v>149.48099999999999</v>
      </c>
      <c r="Z40" s="21">
        <f>+'CES Gross Profit'!N15</f>
        <v>143.43799999999999</v>
      </c>
      <c r="AA40" s="21">
        <f>+'CES Gross Profit'!N24</f>
        <v>157.077</v>
      </c>
      <c r="AB40" s="21">
        <f>+'CES Gross Profit'!O15</f>
        <v>135.87099999999998</v>
      </c>
      <c r="AC40" s="21">
        <f>+'CES Gross Profit'!O24</f>
        <v>148.50799999999998</v>
      </c>
      <c r="AE40" s="21">
        <f>+'CES Gross Profit'!Q15</f>
        <v>546.49400000000003</v>
      </c>
      <c r="AF40" s="21">
        <f>+'CES Gross Profit'!Q24</f>
        <v>602.79000000000008</v>
      </c>
      <c r="AH40" s="21">
        <f>+'CES Gross Profit'!S15</f>
        <v>116.26</v>
      </c>
      <c r="AI40" s="21">
        <f>+'CES Gross Profit'!S24</f>
        <v>125.80700000000002</v>
      </c>
      <c r="AJ40" s="21">
        <f>+'CES Gross Profit'!T15</f>
        <v>137.69100000000003</v>
      </c>
      <c r="AK40" s="21">
        <f>+'CES Gross Profit'!T24</f>
        <v>146.28700000000003</v>
      </c>
      <c r="AL40" s="21">
        <f>+'CES Gross Profit'!U15</f>
        <v>142.71899999999999</v>
      </c>
      <c r="AM40" s="21">
        <f>+'CES Gross Profit'!U24</f>
        <v>151.124</v>
      </c>
      <c r="AN40" s="21">
        <f>+'CES Gross Profit'!V15</f>
        <v>149.60799999999998</v>
      </c>
      <c r="AO40" s="21">
        <f>+'CES Gross Profit'!V24</f>
        <v>157.59199999999998</v>
      </c>
      <c r="AQ40" s="21">
        <f>+'CES Gross Profit'!X15</f>
        <v>546.27800000000002</v>
      </c>
      <c r="AR40" s="21">
        <f>+'CES Gross Profit'!X24</f>
        <v>580.81000000000006</v>
      </c>
      <c r="AT40" s="328" t="s">
        <v>163</v>
      </c>
    </row>
    <row r="41" spans="1:51" s="34" customFormat="1" ht="19.5" customHeight="1" thickBot="1" x14ac:dyDescent="0.25">
      <c r="A41" s="349"/>
      <c r="B41" s="206" t="s">
        <v>224</v>
      </c>
      <c r="D41" s="23">
        <f>+'CES Gross Profit'!B16</f>
        <v>0.627</v>
      </c>
      <c r="E41" s="23">
        <f>+'CES Gross Profit'!B25</f>
        <v>0.67400000000000004</v>
      </c>
      <c r="G41" s="22">
        <f>+'CES Gross Profit'!C16</f>
        <v>0.63437373327928659</v>
      </c>
      <c r="H41" s="22">
        <f>+'CES Gross Profit'!C25</f>
        <v>0.68225165562913903</v>
      </c>
      <c r="J41" s="22">
        <f>+'CES Gross Profit'!E16</f>
        <v>0.63746112600536198</v>
      </c>
      <c r="K41" s="22">
        <f>+'CES Gross Profit'!E25</f>
        <v>0.66913319238900648</v>
      </c>
      <c r="L41" s="22">
        <f>+'CES Gross Profit'!F16</f>
        <v>0.654382470119522</v>
      </c>
      <c r="M41" s="22">
        <f>+'CES Gross Profit'!F25</f>
        <v>0.688177339901478</v>
      </c>
      <c r="N41" s="22">
        <f>+'CES Gross Profit'!G16</f>
        <v>0.65468354430379749</v>
      </c>
      <c r="O41" s="22">
        <f>+'CES Gross Profit'!G25</f>
        <v>0.6898263027295285</v>
      </c>
      <c r="P41" s="22">
        <f>+'CES Gross Profit'!H16</f>
        <v>0.66997635933806154</v>
      </c>
      <c r="Q41" s="22">
        <f>+'CES Gross Profit'!H25</f>
        <v>0.70936639118457312</v>
      </c>
      <c r="S41" s="22">
        <f>+'CES Gross Profit'!J16</f>
        <v>0.65440160743438391</v>
      </c>
      <c r="T41" s="22">
        <f>+'CES Gross Profit'!J25</f>
        <v>0.69000369776901271</v>
      </c>
      <c r="V41" s="22">
        <f>+'CES Gross Profit'!L16</f>
        <v>0.63833896668276191</v>
      </c>
      <c r="W41" s="22">
        <f>+'CES Gross Profit'!L25</f>
        <v>0.68357619268179703</v>
      </c>
      <c r="X41" s="22">
        <f>+'CES Gross Profit'!M16</f>
        <v>0.63759981078524119</v>
      </c>
      <c r="Y41" s="22">
        <f>+'CES Gross Profit'!M25</f>
        <v>0.68352380952380953</v>
      </c>
      <c r="Z41" s="22">
        <f>+'CES Gross Profit'!N16</f>
        <v>0.65800000000000003</v>
      </c>
      <c r="AA41" s="22">
        <f>+'CES Gross Profit'!N25</f>
        <v>0.70099999999999996</v>
      </c>
      <c r="AB41" s="22">
        <f>+'CES Gross Profit'!O16</f>
        <v>0.64700000000000002</v>
      </c>
      <c r="AC41" s="22">
        <f>+'CES Gross Profit'!O25</f>
        <v>0.69199999999999995</v>
      </c>
      <c r="AE41" s="22">
        <f>+'CES Gross Profit'!Q16</f>
        <v>0.64600000000000002</v>
      </c>
      <c r="AF41" s="22">
        <f>+'CES Gross Profit'!Q25</f>
        <v>0.69</v>
      </c>
      <c r="AH41" s="22">
        <f>+'CES Gross Profit'!S16</f>
        <v>0.626</v>
      </c>
      <c r="AI41" s="22">
        <f>+'CES Gross Profit'!S25</f>
        <v>0.66500000000000004</v>
      </c>
      <c r="AJ41" s="22">
        <f>+'CES Gross Profit'!T16</f>
        <v>0.67500000000000004</v>
      </c>
      <c r="AK41" s="22">
        <f>+'CES Gross Profit'!T25</f>
        <v>0.70599999999999996</v>
      </c>
      <c r="AL41" s="22">
        <f>+'CES Gross Profit'!U16</f>
        <v>0.66300000000000003</v>
      </c>
      <c r="AM41" s="22">
        <f>+'CES Gross Profit'!U25</f>
        <v>0.69499999999999995</v>
      </c>
      <c r="AN41" s="22">
        <f>+'CES Gross Profit'!V16</f>
        <v>0.66500000000000004</v>
      </c>
      <c r="AO41" s="22">
        <f>+'CES Gross Profit'!V25</f>
        <v>0.69499999999999995</v>
      </c>
      <c r="AQ41" s="22">
        <f>+'CES Gross Profit'!X16</f>
        <v>0.65800000000000003</v>
      </c>
      <c r="AR41" s="22">
        <f>+'CES Gross Profit'!X25</f>
        <v>0.69099999999999995</v>
      </c>
      <c r="AT41" s="330"/>
    </row>
    <row r="42" spans="1:51" ht="19.5" customHeight="1" thickBot="1" x14ac:dyDescent="0.25">
      <c r="A42" s="349"/>
      <c r="B42" s="205" t="s">
        <v>103</v>
      </c>
      <c r="D42" s="21">
        <f>+'CES Operating &amp; EBITDA Margins'!B6</f>
        <v>29.795000000000002</v>
      </c>
      <c r="E42" s="21">
        <f>+'CES Operating &amp; EBITDA Margins'!B18</f>
        <v>168.70299999999997</v>
      </c>
      <c r="G42" s="21">
        <f>+'CES Operating &amp; EBITDA Margins'!C6</f>
        <v>54</v>
      </c>
      <c r="H42" s="21">
        <f>+'CES Operating &amp; EBITDA Margins'!C18</f>
        <v>184.739</v>
      </c>
      <c r="J42" s="21">
        <f>+'CES Operating &amp; EBITDA Margins'!E6</f>
        <v>11.3</v>
      </c>
      <c r="K42" s="21">
        <f>+'CES Operating &amp; EBITDA Margins'!E18</f>
        <v>39.317</v>
      </c>
      <c r="L42" s="21">
        <f>+'CES Operating &amp; EBITDA Margins'!F6</f>
        <v>26.2</v>
      </c>
      <c r="M42" s="21">
        <f>+'CES Operating &amp; EBITDA Margins'!F18</f>
        <v>52.585000000000001</v>
      </c>
      <c r="N42" s="21">
        <f>+'CES Operating &amp; EBITDA Margins'!G6</f>
        <v>25.6</v>
      </c>
      <c r="O42" s="21">
        <f>+'CES Operating &amp; EBITDA Margins'!G18</f>
        <v>53.588300000000004</v>
      </c>
      <c r="P42" s="21">
        <f>+'CES Operating &amp; EBITDA Margins'!H6</f>
        <v>29.3</v>
      </c>
      <c r="Q42" s="21">
        <f>+'CES Operating &amp; EBITDA Margins'!H18</f>
        <v>63.991</v>
      </c>
      <c r="S42" s="21">
        <f>+'CES Operating &amp; EBITDA Margins'!J6</f>
        <v>93.1</v>
      </c>
      <c r="T42" s="21">
        <f>+'CES Operating &amp; EBITDA Margins'!J18</f>
        <v>209.90199999999999</v>
      </c>
      <c r="V42" s="21">
        <f>+'CES Operating &amp; EBITDA Margins'!L6</f>
        <v>12.4</v>
      </c>
      <c r="W42" s="21">
        <f>+'CES Operating &amp; EBITDA Margins'!L18</f>
        <v>50.234999999999999</v>
      </c>
      <c r="X42" s="21">
        <f>+'CES Operating &amp; EBITDA Margins'!M6</f>
        <v>10.026</v>
      </c>
      <c r="Y42" s="21">
        <f>+'CES Operating &amp; EBITDA Margins'!M18</f>
        <v>49.772999999999996</v>
      </c>
      <c r="Z42" s="21">
        <f>+'CES Operating &amp; EBITDA Margins'!N6</f>
        <v>26.459</v>
      </c>
      <c r="AA42" s="21">
        <f>+'CES Operating &amp; EBITDA Margins'!N18</f>
        <v>62.217999999999989</v>
      </c>
      <c r="AB42" s="21">
        <f>+'CES Operating &amp; EBITDA Margins'!O6</f>
        <v>18.164999999999999</v>
      </c>
      <c r="AC42" s="21">
        <f>+'CES Operating &amp; EBITDA Margins'!O18</f>
        <v>60.218999999999994</v>
      </c>
      <c r="AE42" s="21">
        <f>+'CES Operating &amp; EBITDA Margins'!Q6</f>
        <v>67.004000000000005</v>
      </c>
      <c r="AF42" s="21">
        <f>+'CES Operating &amp; EBITDA Margins'!Q18</f>
        <v>222.49099999999999</v>
      </c>
      <c r="AH42" s="21">
        <f>+'CES Operating &amp; EBITDA Margins'!S6</f>
        <v>6.1150000000000002</v>
      </c>
      <c r="AI42" s="21">
        <f>+'CES Operating &amp; EBITDA Margins'!S18</f>
        <v>37.452000000000012</v>
      </c>
      <c r="AJ42" s="21">
        <f>+'CES Operating &amp; EBITDA Margins'!T6</f>
        <v>31.387</v>
      </c>
      <c r="AK42" s="21">
        <f>+'CES Operating &amp; EBITDA Margins'!T18</f>
        <v>63.605000000000011</v>
      </c>
      <c r="AL42" s="21">
        <f>+'CES Operating &amp; EBITDA Margins'!U6</f>
        <v>26.882000000000001</v>
      </c>
      <c r="AM42" s="21">
        <f>+'CES Operating &amp; EBITDA Margins'!U18</f>
        <v>63.393000000000001</v>
      </c>
      <c r="AN42" s="21">
        <f>+'CES Operating &amp; EBITDA Margins'!V6</f>
        <v>17.582000000000001</v>
      </c>
      <c r="AO42" s="21">
        <f>+'CES Operating &amp; EBITDA Margins'!V18</f>
        <v>57.055</v>
      </c>
      <c r="AQ42" s="21">
        <f>+'CES Operating &amp; EBITDA Margins'!X6</f>
        <v>81.966000000000008</v>
      </c>
      <c r="AR42" s="21">
        <f>+'CES Operating &amp; EBITDA Margins'!X18</f>
        <v>221.50500000000005</v>
      </c>
      <c r="AT42" s="328" t="s">
        <v>217</v>
      </c>
    </row>
    <row r="43" spans="1:51" s="34" customFormat="1" ht="19.5" customHeight="1" thickBot="1" x14ac:dyDescent="0.25">
      <c r="A43" s="349"/>
      <c r="B43" s="206" t="s">
        <v>104</v>
      </c>
      <c r="D43" s="22">
        <f>+'CES Operating &amp; EBITDA Margins'!B7</f>
        <v>4.2000000000000003E-2</v>
      </c>
      <c r="E43" s="22">
        <f>+'CES Operating &amp; EBITDA Margins'!B21</f>
        <v>0.23599999999999999</v>
      </c>
      <c r="G43" s="22">
        <f>+'CES Operating &amp; EBITDA Margins'!C7</f>
        <v>7.2999999999999995E-2</v>
      </c>
      <c r="H43" s="22">
        <f>+'CES Operating &amp; EBITDA Margins'!C21</f>
        <v>0.245</v>
      </c>
      <c r="J43" s="22">
        <f>+'CES Operating &amp; EBITDA Margins'!E7</f>
        <v>0.06</v>
      </c>
      <c r="K43" s="22">
        <f>+'CES Operating &amp; EBITDA Margins'!E21</f>
        <v>0.20771670190274841</v>
      </c>
      <c r="L43" s="22">
        <f>+'CES Operating &amp; EBITDA Margins'!F7</f>
        <v>0.13100000000000001</v>
      </c>
      <c r="M43" s="22">
        <f>+'CES Operating &amp; EBITDA Margins'!F21</f>
        <v>0.25911330049261083</v>
      </c>
      <c r="N43" s="22">
        <f>+'CES Operating &amp; EBITDA Margins'!G7</f>
        <v>0.13</v>
      </c>
      <c r="O43" s="22">
        <f>+'CES Operating &amp; EBITDA Margins'!G21</f>
        <v>0.26600496277915631</v>
      </c>
      <c r="P43" s="22">
        <f>+'CES Operating &amp; EBITDA Margins'!H7</f>
        <v>0.13800000000000001</v>
      </c>
      <c r="Q43" s="22">
        <f>+'CES Operating &amp; EBITDA Margins'!H21</f>
        <v>0.29338842975206608</v>
      </c>
      <c r="S43" s="22">
        <f>+'CES Operating &amp; EBITDA Margins'!J7</f>
        <v>0.11700000000000001</v>
      </c>
      <c r="T43" s="22">
        <f>+'CES Operating &amp; EBITDA Margins'!J21</f>
        <v>0.2587205719216073</v>
      </c>
      <c r="V43" s="22">
        <f>+'CES Operating &amp; EBITDA Margins'!L7</f>
        <v>0.06</v>
      </c>
      <c r="W43" s="22">
        <f>+'CES Operating &amp; EBITDA Margins'!L21</f>
        <v>0.23251505326540062</v>
      </c>
      <c r="X43" s="22">
        <f>+'CES Operating &amp; EBITDA Margins'!M7</f>
        <v>4.7E-2</v>
      </c>
      <c r="Y43" s="22">
        <f>+'CES Operating &amp; EBITDA Margins'!M21</f>
        <v>0.22802197802197802</v>
      </c>
      <c r="Z43" s="22">
        <f>+'CES Operating &amp; EBITDA Margins'!N7</f>
        <v>0.121</v>
      </c>
      <c r="AA43" s="22">
        <f>+'CES Operating &amp; EBITDA Margins'!N21</f>
        <v>0.27800000000000002</v>
      </c>
      <c r="AB43" s="22">
        <f>+'CES Operating &amp; EBITDA Margins'!O7</f>
        <v>8.5999999999999993E-2</v>
      </c>
      <c r="AC43" s="22">
        <f>+'CES Operating &amp; EBITDA Margins'!O21</f>
        <v>0.28000000000000003</v>
      </c>
      <c r="AE43" s="22">
        <f>+'CES Operating &amp; EBITDA Margins'!Q7</f>
        <v>7.9000000000000001E-2</v>
      </c>
      <c r="AF43" s="22">
        <f>+'CES Operating &amp; EBITDA Margins'!Q21</f>
        <v>0.255</v>
      </c>
      <c r="AH43" s="22">
        <f>+'CES Operating &amp; EBITDA Margins'!S7</f>
        <v>3.3000000000000002E-2</v>
      </c>
      <c r="AI43" s="22">
        <f>+'CES Operating &amp; EBITDA Margins'!S21</f>
        <v>0.19800000000000001</v>
      </c>
      <c r="AJ43" s="22">
        <f>+'CES Operating &amp; EBITDA Margins'!T7</f>
        <v>0.154</v>
      </c>
      <c r="AK43" s="22">
        <f>+'CES Operating &amp; EBITDA Margins'!T21</f>
        <v>0.307</v>
      </c>
      <c r="AL43" s="22">
        <f>+'CES Operating &amp; EBITDA Margins'!U7</f>
        <v>0.125</v>
      </c>
      <c r="AM43" s="22">
        <f>+'CES Operating &amp; EBITDA Margins'!U21</f>
        <v>0.29199999999999998</v>
      </c>
      <c r="AN43" s="22">
        <f>+'CES Operating &amp; EBITDA Margins'!V7</f>
        <v>7.8E-2</v>
      </c>
      <c r="AO43" s="22">
        <f>+'CES Operating &amp; EBITDA Margins'!V21</f>
        <v>0.251</v>
      </c>
      <c r="AQ43" s="22">
        <f>+'CES Operating &amp; EBITDA Margins'!X7</f>
        <v>9.9000000000000005E-2</v>
      </c>
      <c r="AR43" s="22">
        <f>+'CES Operating &amp; EBITDA Margins'!X21</f>
        <v>0.26400000000000001</v>
      </c>
      <c r="AT43" s="329"/>
    </row>
    <row r="44" spans="1:51" ht="19.5" customHeight="1" thickBot="1" x14ac:dyDescent="0.25">
      <c r="A44" s="349"/>
      <c r="B44" s="205" t="s">
        <v>105</v>
      </c>
      <c r="D44" s="20"/>
      <c r="E44" s="21">
        <f>+'CES Operating &amp; EBITDA Margins'!B20</f>
        <v>187.96899999999997</v>
      </c>
      <c r="G44" s="20"/>
      <c r="H44" s="21">
        <f>+'CES Operating &amp; EBITDA Margins'!C20</f>
        <v>204.739</v>
      </c>
      <c r="J44" s="20"/>
      <c r="K44" s="21">
        <f>+'CES Operating &amp; EBITDA Margins'!E20</f>
        <v>44.716999999999999</v>
      </c>
      <c r="L44" s="20"/>
      <c r="M44" s="21">
        <f>+'CES Operating &amp; EBITDA Margins'!F20</f>
        <v>57.384999999999998</v>
      </c>
      <c r="N44" s="20"/>
      <c r="O44" s="21">
        <f>+'CES Operating &amp; EBITDA Margins'!G20</f>
        <v>58.288300000000007</v>
      </c>
      <c r="P44" s="20"/>
      <c r="Q44" s="21">
        <f>+'CES Operating &amp; EBITDA Margins'!H20</f>
        <v>68.691000000000003</v>
      </c>
      <c r="S44" s="20"/>
      <c r="T44" s="21">
        <f>+'CES Operating &amp; EBITDA Margins'!J20</f>
        <v>229.30199999999999</v>
      </c>
      <c r="V44" s="20"/>
      <c r="W44" s="21">
        <f>+'CES Operating &amp; EBITDA Margins'!L20</f>
        <v>55.335000000000001</v>
      </c>
      <c r="X44" s="20"/>
      <c r="Y44" s="21">
        <f>+'CES Operating &amp; EBITDA Margins'!M20</f>
        <v>54.872999999999998</v>
      </c>
      <c r="Z44" s="20"/>
      <c r="AA44" s="21">
        <f>+'CES Operating &amp; EBITDA Margins'!N20</f>
        <v>67.87299999999999</v>
      </c>
      <c r="AB44" s="20"/>
      <c r="AC44" s="21">
        <f>+'CES Operating &amp; EBITDA Margins'!O20</f>
        <v>66.021999999999991</v>
      </c>
      <c r="AE44" s="20"/>
      <c r="AF44" s="21">
        <f>+'CES Operating &amp; EBITDA Margins'!Q20</f>
        <v>244.22799999999998</v>
      </c>
      <c r="AH44" s="20"/>
      <c r="AI44" s="21">
        <f>+'CES Operating &amp; EBITDA Margins'!S20</f>
        <v>44.357000000000014</v>
      </c>
      <c r="AJ44" s="20"/>
      <c r="AK44" s="21">
        <f>+'CES Operating &amp; EBITDA Margins'!T20</f>
        <v>70.558000000000007</v>
      </c>
      <c r="AL44" s="20"/>
      <c r="AM44" s="21">
        <f>+'CES Operating &amp; EBITDA Margins'!U20</f>
        <v>70.102999999999994</v>
      </c>
      <c r="AN44" s="20"/>
      <c r="AO44" s="21">
        <f>+'CES Operating &amp; EBITDA Margins'!V20</f>
        <v>63.741</v>
      </c>
      <c r="AQ44" s="20"/>
      <c r="AR44" s="21">
        <f>+'CES Operating &amp; EBITDA Margins'!X20</f>
        <v>248.75900000000004</v>
      </c>
      <c r="AT44" s="329"/>
    </row>
    <row r="45" spans="1:51" s="34" customFormat="1" ht="19.5" customHeight="1" thickBot="1" x14ac:dyDescent="0.25">
      <c r="A45" s="350"/>
      <c r="B45" s="206" t="s">
        <v>106</v>
      </c>
      <c r="D45" s="35"/>
      <c r="E45" s="22">
        <f>+'CES Operating &amp; EBITDA Margins'!B22</f>
        <v>0.26200000000000001</v>
      </c>
      <c r="G45" s="35"/>
      <c r="H45" s="22">
        <f>+'CES Operating &amp; EBITDA Margins'!C22</f>
        <v>0.27100000000000002</v>
      </c>
      <c r="J45" s="35"/>
      <c r="K45" s="22">
        <f>+'CES Operating &amp; EBITDA Margins'!E22</f>
        <v>0.23625792811839322</v>
      </c>
      <c r="L45" s="35"/>
      <c r="M45" s="22">
        <f>+'CES Operating &amp; EBITDA Margins'!F22</f>
        <v>0.28275862068965513</v>
      </c>
      <c r="N45" s="35"/>
      <c r="O45" s="22">
        <f>+'CES Operating &amp; EBITDA Margins'!G22</f>
        <v>0.28933002481389575</v>
      </c>
      <c r="P45" s="35"/>
      <c r="Q45" s="22">
        <f>+'CES Operating &amp; EBITDA Margins'!H22</f>
        <v>0.31496786042240582</v>
      </c>
      <c r="S45" s="35"/>
      <c r="T45" s="22">
        <f>+'CES Operating &amp; EBITDA Margins'!J22</f>
        <v>0.28263281153703934</v>
      </c>
      <c r="V45" s="35"/>
      <c r="W45" s="22">
        <f>+'CES Operating &amp; EBITDA Margins'!L22</f>
        <v>0.25613710050949512</v>
      </c>
      <c r="X45" s="35"/>
      <c r="Y45" s="22">
        <f>+'CES Operating &amp; EBITDA Margins'!M22</f>
        <v>0.25237362637362637</v>
      </c>
      <c r="Z45" s="35"/>
      <c r="AA45" s="22">
        <f>+'CES Operating &amp; EBITDA Margins'!N22</f>
        <v>0.30299999999999999</v>
      </c>
      <c r="AB45" s="35"/>
      <c r="AC45" s="22">
        <f>+'CES Operating &amp; EBITDA Margins'!O22</f>
        <v>0.307</v>
      </c>
      <c r="AE45" s="35"/>
      <c r="AF45" s="22">
        <f>+'CES Operating &amp; EBITDA Margins'!Q22</f>
        <v>0.28000000000000003</v>
      </c>
      <c r="AH45" s="35"/>
      <c r="AI45" s="22">
        <f>+'CES Operating &amp; EBITDA Margins'!S22</f>
        <v>0.23499999999999999</v>
      </c>
      <c r="AJ45" s="35"/>
      <c r="AK45" s="22">
        <f>+'CES Operating &amp; EBITDA Margins'!T22</f>
        <v>0.34100000000000003</v>
      </c>
      <c r="AL45" s="35"/>
      <c r="AM45" s="22">
        <f>+'CES Operating &amp; EBITDA Margins'!U22</f>
        <v>0.32200000000000001</v>
      </c>
      <c r="AN45" s="35"/>
      <c r="AO45" s="22">
        <f>+'CES Operating &amp; EBITDA Margins'!V22</f>
        <v>0.28100000000000003</v>
      </c>
      <c r="AQ45" s="35"/>
      <c r="AR45" s="22">
        <f>+'CES Operating &amp; EBITDA Margins'!X22</f>
        <v>0.29599999999999999</v>
      </c>
      <c r="AT45" s="330"/>
    </row>
    <row r="46" spans="1:51" s="34" customFormat="1" ht="19.5" customHeight="1" x14ac:dyDescent="0.2">
      <c r="A46" s="192"/>
      <c r="B46" s="201"/>
      <c r="D46" s="234"/>
      <c r="E46" s="195"/>
      <c r="G46" s="234"/>
      <c r="H46" s="195"/>
      <c r="J46" s="234"/>
      <c r="K46" s="195"/>
      <c r="L46" s="234"/>
      <c r="M46" s="195"/>
      <c r="N46" s="234"/>
      <c r="O46" s="195"/>
      <c r="P46" s="234"/>
      <c r="Q46" s="195"/>
      <c r="S46" s="234"/>
      <c r="T46" s="195"/>
      <c r="V46" s="234"/>
      <c r="W46" s="195"/>
      <c r="X46" s="234"/>
      <c r="Y46" s="195"/>
      <c r="Z46" s="234"/>
      <c r="AA46" s="195"/>
      <c r="AB46" s="234"/>
      <c r="AC46" s="195"/>
      <c r="AE46" s="234"/>
      <c r="AF46" s="195"/>
      <c r="AH46" s="234"/>
      <c r="AI46" s="195"/>
      <c r="AJ46" s="234"/>
      <c r="AK46" s="195"/>
      <c r="AL46" s="234"/>
      <c r="AM46" s="195"/>
      <c r="AN46" s="195"/>
      <c r="AO46" s="195"/>
      <c r="AQ46" s="234"/>
      <c r="AR46" s="195"/>
      <c r="AT46" s="234"/>
    </row>
    <row r="47" spans="1:51" ht="147" customHeight="1" outlineLevel="1" x14ac:dyDescent="0.25">
      <c r="B47" s="221" t="s">
        <v>233</v>
      </c>
    </row>
    <row r="49" spans="2:44" ht="33" x14ac:dyDescent="0.2">
      <c r="B49" s="245" t="s">
        <v>305</v>
      </c>
    </row>
    <row r="51" spans="2:44" ht="16.5" x14ac:dyDescent="0.2">
      <c r="B51" s="245"/>
    </row>
    <row r="52" spans="2:44" ht="16.5" x14ac:dyDescent="0.2">
      <c r="B52" s="245"/>
    </row>
    <row r="53" spans="2:44" x14ac:dyDescent="0.2">
      <c r="D53" s="209"/>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209"/>
      <c r="AC53" s="209"/>
      <c r="AD53" s="209"/>
      <c r="AE53" s="209"/>
      <c r="AF53" s="209"/>
      <c r="AG53" s="209"/>
      <c r="AH53" s="209"/>
      <c r="AI53" s="209"/>
      <c r="AJ53" s="209"/>
      <c r="AK53" s="209"/>
      <c r="AL53" s="209"/>
      <c r="AM53" s="209"/>
      <c r="AN53" s="209"/>
      <c r="AO53" s="209"/>
      <c r="AP53" s="209"/>
      <c r="AQ53" s="209"/>
      <c r="AR53" s="209"/>
    </row>
  </sheetData>
  <mergeCells count="41">
    <mergeCell ref="AT35:AT38"/>
    <mergeCell ref="Z4:AA4"/>
    <mergeCell ref="AE4:AF4"/>
    <mergeCell ref="AE3:AF3"/>
    <mergeCell ref="AB4:AC4"/>
    <mergeCell ref="V3:AC3"/>
    <mergeCell ref="AT6:AT12"/>
    <mergeCell ref="AT14:AT15"/>
    <mergeCell ref="AH4:AI4"/>
    <mergeCell ref="AQ3:AR3"/>
    <mergeCell ref="AQ4:AR4"/>
    <mergeCell ref="AJ4:AK4"/>
    <mergeCell ref="AL4:AM4"/>
    <mergeCell ref="AN4:AO4"/>
    <mergeCell ref="AH3:AO3"/>
    <mergeCell ref="A35:A38"/>
    <mergeCell ref="S4:T4"/>
    <mergeCell ref="V4:W4"/>
    <mergeCell ref="A3:B3"/>
    <mergeCell ref="D3:E3"/>
    <mergeCell ref="G3:H3"/>
    <mergeCell ref="J3:Q3"/>
    <mergeCell ref="S3:T3"/>
    <mergeCell ref="P4:Q4"/>
    <mergeCell ref="A17:A18"/>
    <mergeCell ref="AT40:AT41"/>
    <mergeCell ref="AT42:AT45"/>
    <mergeCell ref="A40:A45"/>
    <mergeCell ref="X4:Y4"/>
    <mergeCell ref="A5:B5"/>
    <mergeCell ref="A6:A15"/>
    <mergeCell ref="A26:A32"/>
    <mergeCell ref="AT26:AT32"/>
    <mergeCell ref="AT3:AT5"/>
    <mergeCell ref="A4:B4"/>
    <mergeCell ref="D4:E4"/>
    <mergeCell ref="G4:H4"/>
    <mergeCell ref="J4:K4"/>
    <mergeCell ref="L4:M4"/>
    <mergeCell ref="N4:O4"/>
    <mergeCell ref="A20:A24"/>
  </mergeCells>
  <pageMargins left="0.25" right="0.25" top="0.75" bottom="0.75" header="0.3" footer="0.3"/>
  <pageSetup scale="2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0079FF"/>
    <pageSetUpPr fitToPage="1"/>
  </sheetPr>
  <dimension ref="A1:X121"/>
  <sheetViews>
    <sheetView zoomScale="65" zoomScaleNormal="65" zoomScaleSheetLayoutView="85" workbookViewId="0">
      <pane xSplit="1" ySplit="4" topLeftCell="B5" activePane="bottomRight" state="frozen"/>
      <selection activeCell="B9" sqref="B9"/>
      <selection pane="topRight" activeCell="B9" sqref="B9"/>
      <selection pane="bottomLeft" activeCell="B9" sqref="B9"/>
      <selection pane="bottomRight" activeCell="B5" sqref="B5"/>
    </sheetView>
  </sheetViews>
  <sheetFormatPr defaultColWidth="9.140625" defaultRowHeight="11.25" outlineLevelCol="2" x14ac:dyDescent="0.2"/>
  <cols>
    <col min="1" max="1" width="90" style="4" customWidth="1"/>
    <col min="2" max="2" width="20.7109375" style="4" customWidth="1" outlineLevel="1"/>
    <col min="3" max="3" width="20.7109375" style="3" customWidth="1" outlineLevel="1"/>
    <col min="4" max="4" width="1.140625" style="3" hidden="1" customWidth="1" outlineLevel="2"/>
    <col min="5" max="8" width="20.7109375" style="3" hidden="1" customWidth="1" outlineLevel="2"/>
    <col min="9" max="9" width="1" style="3" hidden="1" customWidth="1" outlineLevel="2"/>
    <col min="10" max="10" width="20.7109375" style="4" customWidth="1" outlineLevel="1" collapsed="1"/>
    <col min="11" max="11" width="1" style="8" customWidth="1"/>
    <col min="12" max="15" width="20.7109375" style="4" hidden="1" customWidth="1" outlineLevel="1"/>
    <col min="16" max="16" width="1" style="8" hidden="1" customWidth="1" outlineLevel="1"/>
    <col min="17" max="17" width="20.7109375" style="3" customWidth="1" collapsed="1"/>
    <col min="18" max="18" width="1" style="8" customWidth="1"/>
    <col min="19" max="20" width="28.28515625" style="4" customWidth="1"/>
    <col min="21" max="21" width="25.7109375" style="4" customWidth="1"/>
    <col min="22" max="22" width="24.5703125" style="4" customWidth="1"/>
    <col min="23" max="23" width="1.42578125" style="3" customWidth="1"/>
    <col min="24" max="24" width="20.7109375" style="3" customWidth="1"/>
    <col min="25" max="16384" width="9.140625" style="3"/>
  </cols>
  <sheetData>
    <row r="1" spans="1:24" ht="18" x14ac:dyDescent="0.25">
      <c r="A1" s="198" t="s">
        <v>173</v>
      </c>
      <c r="B1" s="3"/>
      <c r="J1" s="3"/>
      <c r="L1" s="3"/>
      <c r="M1" s="3"/>
      <c r="N1" s="3"/>
      <c r="O1" s="3"/>
      <c r="S1" s="3"/>
      <c r="T1" s="3"/>
      <c r="U1" s="3"/>
      <c r="V1" s="3"/>
    </row>
    <row r="2" spans="1:24" x14ac:dyDescent="0.2">
      <c r="A2" s="1"/>
      <c r="B2" s="1"/>
      <c r="J2" s="3"/>
      <c r="L2" s="3"/>
      <c r="M2" s="3"/>
      <c r="N2" s="3"/>
      <c r="O2" s="3"/>
      <c r="S2" s="3"/>
      <c r="T2" s="3"/>
      <c r="U2" s="3"/>
      <c r="V2" s="3"/>
    </row>
    <row r="3" spans="1:24" s="24" customFormat="1" ht="30" customHeight="1" x14ac:dyDescent="0.25">
      <c r="A3" s="78"/>
      <c r="B3" s="196" t="s">
        <v>31</v>
      </c>
      <c r="C3" s="196" t="s">
        <v>31</v>
      </c>
      <c r="E3" s="354" t="s">
        <v>1</v>
      </c>
      <c r="F3" s="354"/>
      <c r="G3" s="354"/>
      <c r="H3" s="354"/>
      <c r="I3" s="80"/>
      <c r="J3" s="81" t="s">
        <v>31</v>
      </c>
      <c r="K3" s="82"/>
      <c r="L3" s="354" t="s">
        <v>1</v>
      </c>
      <c r="M3" s="354"/>
      <c r="N3" s="354"/>
      <c r="O3" s="354"/>
      <c r="P3" s="82"/>
      <c r="Q3" s="262" t="s">
        <v>31</v>
      </c>
      <c r="R3" s="82"/>
      <c r="S3" s="354" t="s">
        <v>1</v>
      </c>
      <c r="T3" s="354"/>
      <c r="U3" s="354"/>
      <c r="V3" s="354"/>
      <c r="X3" s="302" t="s">
        <v>31</v>
      </c>
    </row>
    <row r="4" spans="1:24" s="24" customFormat="1" ht="30" customHeight="1" x14ac:dyDescent="0.25">
      <c r="A4" s="83" t="s">
        <v>0</v>
      </c>
      <c r="B4" s="84" t="s">
        <v>150</v>
      </c>
      <c r="C4" s="84" t="s">
        <v>151</v>
      </c>
      <c r="E4" s="84" t="s">
        <v>152</v>
      </c>
      <c r="F4" s="84" t="s">
        <v>153</v>
      </c>
      <c r="G4" s="84" t="s">
        <v>154</v>
      </c>
      <c r="H4" s="84" t="s">
        <v>100</v>
      </c>
      <c r="I4" s="86"/>
      <c r="J4" s="84" t="s">
        <v>100</v>
      </c>
      <c r="K4" s="82"/>
      <c r="L4" s="84" t="s">
        <v>148</v>
      </c>
      <c r="M4" s="84" t="s">
        <v>149</v>
      </c>
      <c r="N4" s="84" t="s">
        <v>109</v>
      </c>
      <c r="O4" s="84" t="s">
        <v>314</v>
      </c>
      <c r="P4" s="82"/>
      <c r="Q4" s="84" t="s">
        <v>314</v>
      </c>
      <c r="R4" s="82"/>
      <c r="S4" s="84" t="s">
        <v>327</v>
      </c>
      <c r="T4" s="84" t="s">
        <v>330</v>
      </c>
      <c r="U4" s="84" t="s">
        <v>338</v>
      </c>
      <c r="V4" s="84" t="s">
        <v>346</v>
      </c>
      <c r="X4" s="84" t="s">
        <v>346</v>
      </c>
    </row>
    <row r="5" spans="1:24" x14ac:dyDescent="0.2">
      <c r="A5" s="5"/>
      <c r="B5" s="5"/>
      <c r="J5" s="3"/>
      <c r="L5" s="3"/>
      <c r="M5" s="3"/>
      <c r="N5" s="3"/>
      <c r="O5" s="3"/>
      <c r="S5" s="3"/>
      <c r="T5" s="3"/>
      <c r="U5" s="3"/>
      <c r="V5" s="3"/>
    </row>
    <row r="6" spans="1:24" s="62" customFormat="1" ht="16.5" x14ac:dyDescent="0.25">
      <c r="A6" s="65" t="s">
        <v>299</v>
      </c>
      <c r="B6" s="88">
        <f>+B8+B7+B9</f>
        <v>570.39400000000001</v>
      </c>
      <c r="C6" s="88">
        <f>+C8+C7+C9</f>
        <v>607.36299999999994</v>
      </c>
      <c r="E6" s="88">
        <f>+E8+E7+E9</f>
        <v>152.22499999999999</v>
      </c>
      <c r="F6" s="88">
        <f>+F8+F7+F9</f>
        <v>167.59999999999997</v>
      </c>
      <c r="G6" s="88">
        <f>+G8+G7+G9</f>
        <v>161.4</v>
      </c>
      <c r="H6" s="88">
        <f>+H8+H7+H9</f>
        <v>180.52499999999998</v>
      </c>
      <c r="I6" s="89"/>
      <c r="J6" s="88">
        <f>+J8+J7+J9</f>
        <v>661.76800000000003</v>
      </c>
      <c r="K6" s="90"/>
      <c r="L6" s="88">
        <f>+L8+L7+L9</f>
        <v>170.98399999999998</v>
      </c>
      <c r="M6" s="88">
        <f>+M8+M7+M9</f>
        <v>177.31399999999999</v>
      </c>
      <c r="N6" s="88">
        <f>+N8+N7+N9</f>
        <v>185.10399999999998</v>
      </c>
      <c r="O6" s="88">
        <f>+O8+O7+O9</f>
        <v>180.83600000000001</v>
      </c>
      <c r="P6" s="57"/>
      <c r="Q6" s="88">
        <f t="shared" ref="Q6:Q11" si="0">SUM(L6:P6)</f>
        <v>714.23800000000006</v>
      </c>
      <c r="R6" s="90"/>
      <c r="S6" s="88">
        <f>+S8+S7+S9</f>
        <v>157.595</v>
      </c>
      <c r="T6" s="88">
        <f>+T8+T7+T9</f>
        <v>175.096</v>
      </c>
      <c r="U6" s="88">
        <f>+U8+U7+U9</f>
        <v>185.69399999999999</v>
      </c>
      <c r="V6" s="88">
        <f>+V8+V7+V9</f>
        <v>199.07899999999998</v>
      </c>
      <c r="W6" s="307"/>
      <c r="X6" s="88">
        <f>+X8+X7+X9</f>
        <v>717.46399999999994</v>
      </c>
    </row>
    <row r="7" spans="1:24" s="62" customFormat="1" ht="16.5" x14ac:dyDescent="0.25">
      <c r="A7" s="58" t="s">
        <v>278</v>
      </c>
      <c r="B7" s="61">
        <f t="shared" ref="B7:C10" si="1">+B23-B16</f>
        <v>172.30700000000002</v>
      </c>
      <c r="C7" s="61">
        <f t="shared" si="1"/>
        <v>181.7</v>
      </c>
      <c r="E7" s="61">
        <v>44.4</v>
      </c>
      <c r="F7" s="61">
        <v>49.9</v>
      </c>
      <c r="G7" s="61">
        <v>44.5</v>
      </c>
      <c r="H7" s="61">
        <v>57.4</v>
      </c>
      <c r="I7" s="91"/>
      <c r="J7" s="61">
        <v>196.1</v>
      </c>
      <c r="K7" s="75"/>
      <c r="L7" s="61">
        <v>47.6</v>
      </c>
      <c r="M7" s="61">
        <v>48</v>
      </c>
      <c r="N7" s="61">
        <v>43.725999999999999</v>
      </c>
      <c r="O7" s="61">
        <v>40.526000000000003</v>
      </c>
      <c r="P7" s="47"/>
      <c r="Q7" s="61">
        <f t="shared" si="0"/>
        <v>179.852</v>
      </c>
      <c r="R7" s="75"/>
      <c r="S7" s="61">
        <v>28.524999999999999</v>
      </c>
      <c r="T7" s="61">
        <v>35.829000000000001</v>
      </c>
      <c r="U7" s="61">
        <v>35.460999999999999</v>
      </c>
      <c r="V7" s="61">
        <v>42.024999999999999</v>
      </c>
      <c r="W7" s="307"/>
      <c r="X7" s="61">
        <f>+S7+T7+U7+V7</f>
        <v>141.84</v>
      </c>
    </row>
    <row r="8" spans="1:24" s="62" customFormat="1" ht="16.5" x14ac:dyDescent="0.25">
      <c r="A8" s="58" t="s">
        <v>67</v>
      </c>
      <c r="B8" s="61">
        <f t="shared" si="1"/>
        <v>95.36699999999999</v>
      </c>
      <c r="C8" s="61">
        <f t="shared" si="1"/>
        <v>122.1</v>
      </c>
      <c r="E8" s="61">
        <f>+'CES Cloud Metrics'!E10</f>
        <v>33.090220000000002</v>
      </c>
      <c r="F8" s="61">
        <f>+'CES Cloud Metrics'!F10</f>
        <v>36.910792999999998</v>
      </c>
      <c r="G8" s="61">
        <f>+'CES Cloud Metrics'!G10</f>
        <v>38.086092999999998</v>
      </c>
      <c r="H8" s="61">
        <f>+'CES Cloud Metrics'!H10</f>
        <v>44.345051999999995</v>
      </c>
      <c r="I8" s="91"/>
      <c r="J8" s="61">
        <f>+'CES Cloud Metrics'!J10</f>
        <v>152.55015800000001</v>
      </c>
      <c r="K8" s="75"/>
      <c r="L8" s="61">
        <f>+'CES Cloud Metrics'!L10</f>
        <v>47.800999999999995</v>
      </c>
      <c r="M8" s="61">
        <f>+'CES Cloud Metrics'!M10</f>
        <v>48.908999999999999</v>
      </c>
      <c r="N8" s="61">
        <f>+'CES Cloud Metrics'!N10</f>
        <v>62.533000000000001</v>
      </c>
      <c r="O8" s="61">
        <f>+'CES Cloud Metrics'!O10</f>
        <v>61.233999999999995</v>
      </c>
      <c r="P8" s="47"/>
      <c r="Q8" s="61">
        <f t="shared" si="0"/>
        <v>220.47699999999998</v>
      </c>
      <c r="R8" s="75"/>
      <c r="S8" s="61">
        <f>+'CES Cloud Metrics'!S10</f>
        <v>55.02</v>
      </c>
      <c r="T8" s="61">
        <f>+'CES Cloud Metrics'!T10</f>
        <v>62.557000000000002</v>
      </c>
      <c r="U8" s="61">
        <f>+'CES Cloud Metrics'!U10</f>
        <v>73.867999999999995</v>
      </c>
      <c r="V8" s="61">
        <f>+'CES Cloud Metrics'!V10</f>
        <v>85.965999999999994</v>
      </c>
      <c r="W8" s="307"/>
      <c r="X8" s="61">
        <f>+S8+T8+U8+V8</f>
        <v>277.411</v>
      </c>
    </row>
    <row r="9" spans="1:24" s="57" customFormat="1" ht="15" customHeight="1" x14ac:dyDescent="0.25">
      <c r="A9" s="58" t="s">
        <v>110</v>
      </c>
      <c r="B9" s="77">
        <f t="shared" si="1"/>
        <v>302.72000000000003</v>
      </c>
      <c r="C9" s="77">
        <f t="shared" si="1"/>
        <v>303.56299999999999</v>
      </c>
      <c r="D9" s="47"/>
      <c r="E9" s="77">
        <f>75.025-0.29022</f>
        <v>74.734780000000001</v>
      </c>
      <c r="F9" s="77">
        <f>81.1-0.310793</f>
        <v>80.78920699999999</v>
      </c>
      <c r="G9" s="77">
        <f>79.3-0.486093</f>
        <v>78.813907</v>
      </c>
      <c r="H9" s="77">
        <f>79.5-0.720052</f>
        <v>78.779948000000005</v>
      </c>
      <c r="I9" s="47"/>
      <c r="J9" s="148">
        <f>SUM(E9:H9)</f>
        <v>313.117842</v>
      </c>
      <c r="K9" s="47"/>
      <c r="L9" s="77">
        <f>76.3-0.717</f>
        <v>75.582999999999998</v>
      </c>
      <c r="M9" s="77">
        <f>81.5-1.095</f>
        <v>80.405000000000001</v>
      </c>
      <c r="N9" s="77">
        <f>79.949-1.104</f>
        <v>78.844999999999999</v>
      </c>
      <c r="O9" s="77">
        <f>80.81-1.734</f>
        <v>79.076000000000008</v>
      </c>
      <c r="P9" s="47"/>
      <c r="Q9" s="77">
        <f t="shared" si="0"/>
        <v>313.90899999999999</v>
      </c>
      <c r="R9" s="47"/>
      <c r="S9" s="77">
        <f>76.073-2.023</f>
        <v>74.05</v>
      </c>
      <c r="T9" s="77">
        <f>79.059-2.349</f>
        <v>76.709999999999994</v>
      </c>
      <c r="U9" s="77">
        <f>79.208-2.843</f>
        <v>76.364999999999995</v>
      </c>
      <c r="V9" s="77">
        <v>71.087999999999994</v>
      </c>
      <c r="W9" s="309"/>
      <c r="X9" s="77">
        <f t="shared" ref="X9" si="2">+S9+T9+U9+V9</f>
        <v>298.21299999999997</v>
      </c>
    </row>
    <row r="10" spans="1:24" s="62" customFormat="1" ht="16.5" x14ac:dyDescent="0.25">
      <c r="A10" s="65" t="s">
        <v>276</v>
      </c>
      <c r="B10" s="95">
        <f t="shared" si="1"/>
        <v>135.501</v>
      </c>
      <c r="C10" s="95">
        <f t="shared" si="1"/>
        <v>132.71199999999999</v>
      </c>
      <c r="E10" s="95">
        <v>34.299999999999997</v>
      </c>
      <c r="F10" s="95">
        <v>33.200000000000003</v>
      </c>
      <c r="G10" s="95">
        <v>36.1</v>
      </c>
      <c r="H10" s="95">
        <v>31</v>
      </c>
      <c r="I10" s="146"/>
      <c r="J10" s="95">
        <v>134.5</v>
      </c>
      <c r="K10" s="147"/>
      <c r="L10" s="95">
        <v>36.134999999999998</v>
      </c>
      <c r="M10" s="95">
        <v>34.1</v>
      </c>
      <c r="N10" s="95">
        <v>32.832000000000001</v>
      </c>
      <c r="O10" s="95">
        <v>29.222000000000001</v>
      </c>
      <c r="P10" s="57"/>
      <c r="Q10" s="95">
        <f t="shared" si="0"/>
        <v>132.28900000000002</v>
      </c>
      <c r="R10" s="147"/>
      <c r="S10" s="95">
        <v>28.27</v>
      </c>
      <c r="T10" s="95">
        <v>28.984000000000002</v>
      </c>
      <c r="U10" s="95">
        <v>29.527999999999999</v>
      </c>
      <c r="V10" s="95">
        <v>26.001000000000001</v>
      </c>
      <c r="W10" s="307"/>
      <c r="X10" s="95">
        <f>+S10+T10+U10+V10</f>
        <v>112.78300000000002</v>
      </c>
    </row>
    <row r="11" spans="1:24" s="62" customFormat="1" ht="16.5" x14ac:dyDescent="0.25">
      <c r="A11" s="65" t="s">
        <v>65</v>
      </c>
      <c r="B11" s="92">
        <f>+B6+B10</f>
        <v>705.89499999999998</v>
      </c>
      <c r="C11" s="92">
        <f>+C6+C10</f>
        <v>740.07499999999993</v>
      </c>
      <c r="E11" s="92">
        <f>+E6+E10</f>
        <v>186.52499999999998</v>
      </c>
      <c r="F11" s="92">
        <f>+F6+F10</f>
        <v>200.79999999999995</v>
      </c>
      <c r="G11" s="92">
        <f>+G6+G10</f>
        <v>197.5</v>
      </c>
      <c r="H11" s="92">
        <f>+H6+H10</f>
        <v>211.52499999999998</v>
      </c>
      <c r="I11" s="89"/>
      <c r="J11" s="92">
        <f>+J6+J10</f>
        <v>796.26800000000003</v>
      </c>
      <c r="K11" s="90"/>
      <c r="L11" s="92">
        <f>+L6+L10</f>
        <v>207.11899999999997</v>
      </c>
      <c r="M11" s="92">
        <f>+M6+M10</f>
        <v>211.41399999999999</v>
      </c>
      <c r="N11" s="92">
        <f>+N6+N10</f>
        <v>217.93599999999998</v>
      </c>
      <c r="O11" s="92">
        <f>+O6+O10</f>
        <v>210.05800000000002</v>
      </c>
      <c r="P11" s="57"/>
      <c r="Q11" s="92">
        <f t="shared" si="0"/>
        <v>846.52699999999993</v>
      </c>
      <c r="R11" s="90"/>
      <c r="S11" s="92">
        <f>+S6+S10</f>
        <v>185.86500000000001</v>
      </c>
      <c r="T11" s="92">
        <f>+T6+T10</f>
        <v>204.08</v>
      </c>
      <c r="U11" s="92">
        <f>+U6+U10</f>
        <v>215.22199999999998</v>
      </c>
      <c r="V11" s="92">
        <f>+V6+V10</f>
        <v>225.07999999999998</v>
      </c>
      <c r="W11" s="307"/>
      <c r="X11" s="92">
        <f>+X6+X10</f>
        <v>830.24699999999996</v>
      </c>
    </row>
    <row r="12" spans="1:24" s="240" customFormat="1" ht="16.5" x14ac:dyDescent="0.25">
      <c r="A12" s="239" t="s">
        <v>302</v>
      </c>
      <c r="B12" s="244">
        <f>+B6/B11</f>
        <v>0.80804368921723491</v>
      </c>
      <c r="C12" s="244">
        <f>+C6/C11</f>
        <v>0.82067763402357874</v>
      </c>
      <c r="E12" s="244">
        <f>+E6/E11</f>
        <v>0.8161104409596569</v>
      </c>
      <c r="F12" s="244">
        <f>+F6/F11</f>
        <v>0.83466135458167334</v>
      </c>
      <c r="G12" s="244">
        <f>+G6/G11</f>
        <v>0.81721518987341779</v>
      </c>
      <c r="H12" s="244">
        <f>+H6/H11</f>
        <v>0.85344521924122441</v>
      </c>
      <c r="I12" s="241"/>
      <c r="J12" s="244">
        <f>+J6/J11</f>
        <v>0.83108702095274456</v>
      </c>
      <c r="K12" s="242"/>
      <c r="L12" s="244">
        <f>+L6/L11</f>
        <v>0.82553507886770405</v>
      </c>
      <c r="M12" s="244">
        <f>+M6/M11</f>
        <v>0.83870509994607734</v>
      </c>
      <c r="N12" s="244">
        <f>+N6/N11</f>
        <v>0.84935026796857793</v>
      </c>
      <c r="O12" s="244">
        <f>+O6/O11</f>
        <v>0.86088604099820043</v>
      </c>
      <c r="P12" s="243"/>
      <c r="Q12" s="244">
        <f>+Q6/Q11</f>
        <v>0.84372737077494298</v>
      </c>
      <c r="R12" s="242"/>
      <c r="S12" s="244">
        <f>+S6/S11</f>
        <v>0.84790035778656547</v>
      </c>
      <c r="T12" s="244">
        <f>+T6/T11</f>
        <v>0.85797726381811046</v>
      </c>
      <c r="U12" s="244">
        <f>+U6/U11</f>
        <v>0.86280212989378413</v>
      </c>
      <c r="V12" s="244">
        <f>+V6/V11</f>
        <v>0.88448107339612581</v>
      </c>
      <c r="X12" s="244">
        <f>+X6/X11</f>
        <v>0.86415729295017019</v>
      </c>
    </row>
    <row r="13" spans="1:24" s="240" customFormat="1" ht="16.5" x14ac:dyDescent="0.25">
      <c r="A13" s="239" t="s">
        <v>303</v>
      </c>
      <c r="B13" s="244">
        <f>+(B8+B9)/B6</f>
        <v>0.69791582660406659</v>
      </c>
      <c r="C13" s="244">
        <f>+(C8+C9)/C6</f>
        <v>0.70083788442825801</v>
      </c>
      <c r="E13" s="244">
        <f>+(E8+E9)/E6</f>
        <v>0.70832649039251117</v>
      </c>
      <c r="F13" s="244">
        <f>+(F8+F9)/F6</f>
        <v>0.70226730310262542</v>
      </c>
      <c r="G13" s="244">
        <f>+(G8+G9)/G6</f>
        <v>0.72428748451053282</v>
      </c>
      <c r="H13" s="244">
        <f>+(H8+H9)/H6</f>
        <v>0.68203849882287781</v>
      </c>
      <c r="I13" s="241"/>
      <c r="J13" s="244">
        <f>+(J8+J9)/J6</f>
        <v>0.70367258616312667</v>
      </c>
      <c r="K13" s="242"/>
      <c r="L13" s="244">
        <f>+(L8+L9)/L6</f>
        <v>0.72161137884246485</v>
      </c>
      <c r="M13" s="244">
        <f>+(M8+M9)/M6</f>
        <v>0.72929379518819715</v>
      </c>
      <c r="N13" s="244">
        <f>+(N8+N9)/N6</f>
        <v>0.76377603941567984</v>
      </c>
      <c r="O13" s="244">
        <f>+(O8+O9)/O6</f>
        <v>0.77589639231126539</v>
      </c>
      <c r="P13" s="243"/>
      <c r="Q13" s="244">
        <f>+(Q8+Q9)/Q6</f>
        <v>0.74819037911732489</v>
      </c>
      <c r="R13" s="242"/>
      <c r="S13" s="244">
        <f>+(S8+S9)/S6</f>
        <v>0.81899806465941172</v>
      </c>
      <c r="T13" s="244">
        <f>+(T8+T9)/T6</f>
        <v>0.79537510851190196</v>
      </c>
      <c r="U13" s="244">
        <f>+(U8+U9)/U6</f>
        <v>0.80903529462448986</v>
      </c>
      <c r="V13" s="244">
        <f>+(V8+V9)/V6</f>
        <v>0.78890289784457424</v>
      </c>
      <c r="X13" s="244">
        <f>+(X8+X9)/X6</f>
        <v>0.80230366959178445</v>
      </c>
    </row>
    <row r="14" spans="1:24" s="62" customFormat="1" ht="16.5" x14ac:dyDescent="0.25">
      <c r="A14" s="65"/>
      <c r="B14" s="68"/>
      <c r="C14" s="68"/>
      <c r="E14" s="68"/>
      <c r="F14" s="68"/>
      <c r="G14" s="68"/>
      <c r="H14" s="68"/>
      <c r="J14" s="68"/>
      <c r="K14" s="57"/>
      <c r="L14" s="68"/>
      <c r="M14" s="68"/>
      <c r="N14" s="68"/>
      <c r="O14" s="68"/>
      <c r="P14" s="57"/>
      <c r="Q14" s="68"/>
      <c r="R14" s="57"/>
      <c r="S14" s="68"/>
      <c r="T14" s="68"/>
      <c r="U14" s="68"/>
      <c r="V14" s="68"/>
      <c r="X14" s="68"/>
    </row>
    <row r="15" spans="1:24" s="62" customFormat="1" ht="16.5" x14ac:dyDescent="0.25">
      <c r="A15" s="65" t="s">
        <v>300</v>
      </c>
      <c r="B15" s="93">
        <f>+B17+B16+B18</f>
        <v>9.9219999999999988</v>
      </c>
      <c r="C15" s="93">
        <f>+C17+C16+C18</f>
        <v>14.9</v>
      </c>
      <c r="E15" s="93">
        <f>+E17+E16+E18</f>
        <v>2.6349999999999909</v>
      </c>
      <c r="F15" s="93">
        <f>+F17+F16+F18</f>
        <v>2.1800000000000068</v>
      </c>
      <c r="G15" s="93">
        <f>+G17+G16+G18</f>
        <v>3.980000000000004</v>
      </c>
      <c r="H15" s="93">
        <f>+H17+H16+H18</f>
        <v>6.2749999999999986</v>
      </c>
      <c r="J15" s="93">
        <f>+J17+J16+J18</f>
        <v>15.060000000000002</v>
      </c>
      <c r="K15" s="57"/>
      <c r="L15" s="93">
        <f>+L17+L16+L18</f>
        <v>8.7460000000000093</v>
      </c>
      <c r="M15" s="93">
        <f>+M17+M16+M18</f>
        <v>7.0059999999999931</v>
      </c>
      <c r="N15" s="93">
        <f>+N17+N16+N18</f>
        <v>6.2130000000000081</v>
      </c>
      <c r="O15" s="93">
        <f>+O17+O16+O18</f>
        <v>4.7019999999999982</v>
      </c>
      <c r="P15" s="57"/>
      <c r="Q15" s="93">
        <f t="shared" ref="Q15:Q20" si="3">SUM(L15:P15)</f>
        <v>26.667000000000009</v>
      </c>
      <c r="R15" s="57"/>
      <c r="S15" s="93">
        <f>+S17+S16+S18</f>
        <v>3.2620000000000076</v>
      </c>
      <c r="T15" s="93">
        <f>+T17+T16+T18</f>
        <v>3.0660000000000025</v>
      </c>
      <c r="U15" s="93">
        <f>+U17+U16+U18</f>
        <v>2.2270000000000039</v>
      </c>
      <c r="V15" s="93">
        <f>+V17+V16+V18</f>
        <v>1.7810000000000059</v>
      </c>
      <c r="W15" s="307"/>
      <c r="X15" s="93">
        <f>+X17+X16+X18</f>
        <v>10.336000000000013</v>
      </c>
    </row>
    <row r="16" spans="1:24" s="52" customFormat="1" ht="16.5" x14ac:dyDescent="0.25">
      <c r="A16" s="58" t="s">
        <v>279</v>
      </c>
      <c r="B16" s="61">
        <v>0.17100000000000001</v>
      </c>
      <c r="C16" s="61">
        <v>0</v>
      </c>
      <c r="E16" s="61">
        <f t="shared" ref="E16:H19" si="4">+E23-E7</f>
        <v>0</v>
      </c>
      <c r="F16" s="61">
        <f t="shared" si="4"/>
        <v>0</v>
      </c>
      <c r="G16" s="61">
        <f t="shared" si="4"/>
        <v>0</v>
      </c>
      <c r="H16" s="61">
        <f t="shared" si="4"/>
        <v>0</v>
      </c>
      <c r="J16" s="61">
        <f>+J23-J7</f>
        <v>0</v>
      </c>
      <c r="K16" s="47"/>
      <c r="L16" s="61">
        <f t="shared" ref="L16:N19" si="5">+L23-L7</f>
        <v>0</v>
      </c>
      <c r="M16" s="61">
        <f t="shared" si="5"/>
        <v>0</v>
      </c>
      <c r="N16" s="61">
        <f t="shared" si="5"/>
        <v>0</v>
      </c>
      <c r="O16" s="61">
        <f t="shared" ref="O16" si="6">+O23-O7</f>
        <v>0</v>
      </c>
      <c r="P16" s="47"/>
      <c r="Q16" s="61">
        <f t="shared" si="3"/>
        <v>0</v>
      </c>
      <c r="R16" s="47"/>
      <c r="S16" s="61">
        <f t="shared" ref="S16:T19" si="7">+S23-S7</f>
        <v>0</v>
      </c>
      <c r="T16" s="61">
        <f t="shared" si="7"/>
        <v>0</v>
      </c>
      <c r="U16" s="61">
        <f t="shared" ref="U16:V16" si="8">+U23-U7</f>
        <v>0</v>
      </c>
      <c r="V16" s="61">
        <f t="shared" si="8"/>
        <v>0</v>
      </c>
      <c r="W16" s="310"/>
      <c r="X16" s="61">
        <f>+X23-X7</f>
        <v>0</v>
      </c>
    </row>
    <row r="17" spans="1:24" s="62" customFormat="1" ht="16.5" x14ac:dyDescent="0.25">
      <c r="A17" s="58" t="s">
        <v>69</v>
      </c>
      <c r="B17" s="61">
        <v>8.8339999999999996</v>
      </c>
      <c r="C17" s="61">
        <v>12.9</v>
      </c>
      <c r="E17" s="61">
        <f t="shared" si="4"/>
        <v>2.4599999999999937</v>
      </c>
      <c r="F17" s="61">
        <f t="shared" si="4"/>
        <v>2.0799999999999983</v>
      </c>
      <c r="G17" s="61">
        <f t="shared" si="4"/>
        <v>3.980000000000004</v>
      </c>
      <c r="H17" s="61">
        <f t="shared" si="4"/>
        <v>6.1750000000000043</v>
      </c>
      <c r="I17" s="52"/>
      <c r="J17" s="61">
        <f>+J24-J8</f>
        <v>14.685000000000002</v>
      </c>
      <c r="K17" s="47"/>
      <c r="L17" s="61">
        <f t="shared" si="5"/>
        <v>8.6440000000000055</v>
      </c>
      <c r="M17" s="61">
        <f t="shared" si="5"/>
        <v>6.9179999999999993</v>
      </c>
      <c r="N17" s="61">
        <f t="shared" si="5"/>
        <v>6.1470000000000056</v>
      </c>
      <c r="O17" s="61">
        <f t="shared" ref="O17" si="9">+O24-O8</f>
        <v>4.6370000000000005</v>
      </c>
      <c r="P17" s="47"/>
      <c r="Q17" s="61">
        <f t="shared" si="3"/>
        <v>26.346000000000011</v>
      </c>
      <c r="R17" s="47"/>
      <c r="S17" s="61">
        <f t="shared" si="7"/>
        <v>3.2070000000000007</v>
      </c>
      <c r="T17" s="61">
        <f t="shared" si="7"/>
        <v>3.0180000000000007</v>
      </c>
      <c r="U17" s="61">
        <f t="shared" ref="U17:V17" si="10">+U24-U8</f>
        <v>2.1659999999999968</v>
      </c>
      <c r="V17" s="61">
        <f t="shared" si="10"/>
        <v>1.7720000000000056</v>
      </c>
      <c r="W17" s="307"/>
      <c r="X17" s="61">
        <f>+X24-X8</f>
        <v>10.163000000000011</v>
      </c>
    </row>
    <row r="18" spans="1:24" s="57" customFormat="1" ht="16.5" x14ac:dyDescent="0.25">
      <c r="A18" s="58" t="s">
        <v>111</v>
      </c>
      <c r="B18" s="94">
        <v>0.91700000000000004</v>
      </c>
      <c r="C18" s="94">
        <v>2</v>
      </c>
      <c r="D18" s="47"/>
      <c r="E18" s="94">
        <f t="shared" si="4"/>
        <v>0.17499999999999716</v>
      </c>
      <c r="F18" s="94">
        <f t="shared" si="4"/>
        <v>0.10000000000000853</v>
      </c>
      <c r="G18" s="94">
        <f t="shared" si="4"/>
        <v>0</v>
      </c>
      <c r="H18" s="94">
        <f t="shared" si="4"/>
        <v>9.9999999999994316E-2</v>
      </c>
      <c r="I18" s="47"/>
      <c r="J18" s="94">
        <f>+J25-J9</f>
        <v>0.375</v>
      </c>
      <c r="K18" s="47"/>
      <c r="L18" s="94">
        <f t="shared" si="5"/>
        <v>0.10200000000000387</v>
      </c>
      <c r="M18" s="94">
        <f t="shared" si="5"/>
        <v>8.7999999999993861E-2</v>
      </c>
      <c r="N18" s="94">
        <f t="shared" si="5"/>
        <v>6.6000000000002501E-2</v>
      </c>
      <c r="O18" s="94">
        <f t="shared" ref="O18" si="11">+O25-O9</f>
        <v>6.4999999999997726E-2</v>
      </c>
      <c r="P18" s="47"/>
      <c r="Q18" s="94">
        <f t="shared" si="3"/>
        <v>0.32099999999999795</v>
      </c>
      <c r="R18" s="47"/>
      <c r="S18" s="94">
        <f t="shared" si="7"/>
        <v>5.5000000000006821E-2</v>
      </c>
      <c r="T18" s="94">
        <f t="shared" si="7"/>
        <v>4.8000000000001819E-2</v>
      </c>
      <c r="U18" s="94">
        <f t="shared" ref="U18:V18" si="12">+U25-U9</f>
        <v>6.1000000000007049E-2</v>
      </c>
      <c r="V18" s="94">
        <f t="shared" si="12"/>
        <v>9.0000000000003411E-3</v>
      </c>
      <c r="W18" s="309"/>
      <c r="X18" s="94">
        <f>+X25-X9</f>
        <v>0.17300000000000182</v>
      </c>
    </row>
    <row r="19" spans="1:24" s="62" customFormat="1" ht="16.5" x14ac:dyDescent="0.25">
      <c r="A19" s="65" t="s">
        <v>359</v>
      </c>
      <c r="B19" s="95">
        <v>0.34399999999999997</v>
      </c>
      <c r="C19" s="95">
        <v>0</v>
      </c>
      <c r="E19" s="95">
        <f t="shared" si="4"/>
        <v>0</v>
      </c>
      <c r="F19" s="95">
        <f t="shared" si="4"/>
        <v>0</v>
      </c>
      <c r="G19" s="95">
        <f t="shared" si="4"/>
        <v>0</v>
      </c>
      <c r="H19" s="95">
        <f t="shared" si="4"/>
        <v>0</v>
      </c>
      <c r="J19" s="95">
        <f>+J26-J10</f>
        <v>0</v>
      </c>
      <c r="K19" s="57"/>
      <c r="L19" s="317">
        <f t="shared" si="5"/>
        <v>0</v>
      </c>
      <c r="M19" s="95">
        <f t="shared" si="5"/>
        <v>0</v>
      </c>
      <c r="N19" s="95">
        <f t="shared" si="5"/>
        <v>0</v>
      </c>
      <c r="O19" s="95">
        <f t="shared" ref="O19" si="13">+O26-O10</f>
        <v>0</v>
      </c>
      <c r="P19" s="57"/>
      <c r="Q19" s="95">
        <f t="shared" si="3"/>
        <v>0</v>
      </c>
      <c r="R19" s="57"/>
      <c r="S19" s="95">
        <f t="shared" si="7"/>
        <v>0</v>
      </c>
      <c r="T19" s="95">
        <f t="shared" si="7"/>
        <v>0</v>
      </c>
      <c r="U19" s="95">
        <f t="shared" ref="U19:V19" si="14">+U26-U10</f>
        <v>0</v>
      </c>
      <c r="V19" s="95">
        <f t="shared" si="14"/>
        <v>0</v>
      </c>
      <c r="W19" s="307"/>
      <c r="X19" s="95">
        <f>+X26-X10</f>
        <v>0</v>
      </c>
    </row>
    <row r="20" spans="1:24" s="62" customFormat="1" ht="16.5" x14ac:dyDescent="0.25">
      <c r="A20" s="65" t="s">
        <v>71</v>
      </c>
      <c r="B20" s="97">
        <f>+B15+B19</f>
        <v>10.265999999999998</v>
      </c>
      <c r="C20" s="97">
        <f>+C15+C19</f>
        <v>14.9</v>
      </c>
      <c r="E20" s="97">
        <f>+E15+E19</f>
        <v>2.6349999999999909</v>
      </c>
      <c r="F20" s="97">
        <f>+F15+F19</f>
        <v>2.1800000000000068</v>
      </c>
      <c r="G20" s="97">
        <f>+G15+G19</f>
        <v>3.980000000000004</v>
      </c>
      <c r="H20" s="97">
        <f>+H15+H19</f>
        <v>6.2749999999999986</v>
      </c>
      <c r="J20" s="97">
        <f>+J15+J19</f>
        <v>15.060000000000002</v>
      </c>
      <c r="K20" s="57"/>
      <c r="L20" s="97">
        <f>+L15+L19</f>
        <v>8.7460000000000093</v>
      </c>
      <c r="M20" s="97">
        <f>+M15+M19</f>
        <v>7.0059999999999931</v>
      </c>
      <c r="N20" s="97">
        <f>+N15+N19</f>
        <v>6.2130000000000081</v>
      </c>
      <c r="O20" s="97">
        <f>+O15+O19</f>
        <v>4.7019999999999982</v>
      </c>
      <c r="P20" s="57"/>
      <c r="Q20" s="97">
        <f t="shared" si="3"/>
        <v>26.667000000000009</v>
      </c>
      <c r="R20" s="57"/>
      <c r="S20" s="97">
        <f>+S15+S19</f>
        <v>3.2620000000000076</v>
      </c>
      <c r="T20" s="97">
        <f>+T15+T19</f>
        <v>3.0660000000000025</v>
      </c>
      <c r="U20" s="97">
        <f>+U15+U19</f>
        <v>2.2270000000000039</v>
      </c>
      <c r="V20" s="97">
        <f>+V15+V19</f>
        <v>1.7810000000000059</v>
      </c>
      <c r="W20" s="307"/>
      <c r="X20" s="97">
        <f>+X15+X19</f>
        <v>10.336000000000013</v>
      </c>
    </row>
    <row r="21" spans="1:24" s="62" customFormat="1" ht="16.5" x14ac:dyDescent="0.25">
      <c r="A21" s="65"/>
      <c r="B21" s="68"/>
      <c r="C21" s="68"/>
      <c r="E21" s="68"/>
      <c r="F21" s="68"/>
      <c r="G21" s="68"/>
      <c r="H21" s="68"/>
      <c r="J21" s="68"/>
      <c r="K21" s="57"/>
      <c r="L21" s="68"/>
      <c r="M21" s="68"/>
      <c r="N21" s="68"/>
      <c r="O21" s="68"/>
      <c r="P21" s="57"/>
      <c r="Q21" s="68"/>
      <c r="R21" s="57"/>
      <c r="S21" s="68"/>
      <c r="T21" s="68"/>
      <c r="U21" s="68"/>
      <c r="V21" s="68"/>
      <c r="W21" s="307"/>
      <c r="X21" s="68"/>
    </row>
    <row r="22" spans="1:24" s="62" customFormat="1" ht="16.5" x14ac:dyDescent="0.25">
      <c r="A22" s="65" t="s">
        <v>301</v>
      </c>
      <c r="B22" s="88">
        <f>+B24+B23+B25</f>
        <v>580.31600000000003</v>
      </c>
      <c r="C22" s="88">
        <f>+C24+C23+C25</f>
        <v>622.26299999999992</v>
      </c>
      <c r="E22" s="88">
        <f>+E24+E23+E25</f>
        <v>154.86000000000001</v>
      </c>
      <c r="F22" s="88">
        <f>+F24+F23+F25</f>
        <v>169.78</v>
      </c>
      <c r="G22" s="88">
        <f>+G24+G23+G25</f>
        <v>165.38</v>
      </c>
      <c r="H22" s="88">
        <f>+H24+H23+H25</f>
        <v>186.8</v>
      </c>
      <c r="I22" s="89"/>
      <c r="J22" s="88">
        <f>+J24+J23+J25</f>
        <v>676.82799999999997</v>
      </c>
      <c r="K22" s="90"/>
      <c r="L22" s="88">
        <f>+L24+L23+L25</f>
        <v>179.73000000000002</v>
      </c>
      <c r="M22" s="88">
        <f>+M24+M23+M25</f>
        <v>184.32</v>
      </c>
      <c r="N22" s="88">
        <f>+N24+N23+N25</f>
        <v>191.31700000000001</v>
      </c>
      <c r="O22" s="88">
        <f>+O24+O23+O25</f>
        <v>185.53800000000001</v>
      </c>
      <c r="P22" s="305"/>
      <c r="Q22" s="88">
        <f t="shared" ref="Q22:Q27" si="15">SUM(L22:P22)</f>
        <v>740.90499999999997</v>
      </c>
      <c r="R22" s="90"/>
      <c r="S22" s="88">
        <f>+S24+S23+S25</f>
        <v>160.85700000000003</v>
      </c>
      <c r="T22" s="88">
        <f>+T24+T23+T25</f>
        <v>178.16199999999998</v>
      </c>
      <c r="U22" s="88">
        <f>+U24+U23+U25</f>
        <v>187.92099999999999</v>
      </c>
      <c r="V22" s="88">
        <f>+V24+V23+V25</f>
        <v>200.86</v>
      </c>
      <c r="W22" s="307"/>
      <c r="X22" s="88">
        <f>+X24+X23+X25</f>
        <v>727.8</v>
      </c>
    </row>
    <row r="23" spans="1:24" s="62" customFormat="1" ht="16.5" x14ac:dyDescent="0.25">
      <c r="A23" s="60" t="s">
        <v>280</v>
      </c>
      <c r="B23" s="61">
        <v>172.47800000000001</v>
      </c>
      <c r="C23" s="61">
        <v>181.7</v>
      </c>
      <c r="E23" s="61">
        <v>44.4</v>
      </c>
      <c r="F23" s="61">
        <v>49.9</v>
      </c>
      <c r="G23" s="61">
        <v>44.5</v>
      </c>
      <c r="H23" s="61">
        <v>57.4</v>
      </c>
      <c r="J23" s="61">
        <v>196.1</v>
      </c>
      <c r="K23" s="57"/>
      <c r="L23" s="61">
        <v>47.6</v>
      </c>
      <c r="M23" s="61">
        <v>48</v>
      </c>
      <c r="N23" s="61">
        <v>43.725999999999999</v>
      </c>
      <c r="O23" s="61">
        <v>40.526000000000003</v>
      </c>
      <c r="P23" s="305"/>
      <c r="Q23" s="61">
        <f t="shared" si="15"/>
        <v>179.852</v>
      </c>
      <c r="R23" s="57"/>
      <c r="S23" s="61">
        <v>28.524999999999999</v>
      </c>
      <c r="T23" s="61">
        <v>35.829000000000001</v>
      </c>
      <c r="U23" s="61">
        <v>35.460999999999999</v>
      </c>
      <c r="V23" s="61">
        <v>42.024999999999999</v>
      </c>
      <c r="W23" s="307"/>
      <c r="X23" s="61">
        <f t="shared" ref="X23:X26" si="16">+S23+T23+U23+V23</f>
        <v>141.84</v>
      </c>
    </row>
    <row r="24" spans="1:24" s="62" customFormat="1" ht="16.5" x14ac:dyDescent="0.25">
      <c r="A24" s="58" t="s">
        <v>72</v>
      </c>
      <c r="B24" s="61">
        <v>104.20099999999999</v>
      </c>
      <c r="C24" s="61">
        <v>135</v>
      </c>
      <c r="E24" s="61">
        <f>+'CES Cloud Metrics'!E22</f>
        <v>35.550219999999996</v>
      </c>
      <c r="F24" s="61">
        <f>+'CES Cloud Metrics'!F22</f>
        <v>38.990792999999996</v>
      </c>
      <c r="G24" s="61">
        <f>+'CES Cloud Metrics'!G22</f>
        <v>42.066093000000002</v>
      </c>
      <c r="H24" s="61">
        <f>+'CES Cloud Metrics'!H22</f>
        <v>50.520052</v>
      </c>
      <c r="I24" s="52"/>
      <c r="J24" s="61">
        <f>+'CES Cloud Metrics'!J22</f>
        <v>167.23515800000001</v>
      </c>
      <c r="K24" s="47"/>
      <c r="L24" s="61">
        <f>+'CES Cloud Metrics'!L22</f>
        <v>56.445</v>
      </c>
      <c r="M24" s="61">
        <f>+'CES Cloud Metrics'!M22</f>
        <v>55.826999999999998</v>
      </c>
      <c r="N24" s="61">
        <f>+'CES Cloud Metrics'!N22</f>
        <v>68.680000000000007</v>
      </c>
      <c r="O24" s="61">
        <f>+'CES Cloud Metrics'!O22</f>
        <v>65.870999999999995</v>
      </c>
      <c r="P24" s="304">
        <f>+'CES Cloud Metrics'!P22</f>
        <v>0</v>
      </c>
      <c r="Q24" s="61">
        <f t="shared" si="15"/>
        <v>246.82299999999998</v>
      </c>
      <c r="R24" s="47"/>
      <c r="S24" s="61">
        <f>+'CES Cloud Metrics'!S22</f>
        <v>58.227000000000004</v>
      </c>
      <c r="T24" s="61">
        <f>+'CES Cloud Metrics'!T22</f>
        <v>65.575000000000003</v>
      </c>
      <c r="U24" s="61">
        <f>+'CES Cloud Metrics'!U22</f>
        <v>76.033999999999992</v>
      </c>
      <c r="V24" s="61">
        <f>+'CES Cloud Metrics'!V22</f>
        <v>87.738</v>
      </c>
      <c r="W24" s="308">
        <f>+'CES Cloud Metrics'!W22</f>
        <v>0</v>
      </c>
      <c r="X24" s="61">
        <f>+S24+T24+U24+V24</f>
        <v>287.57400000000001</v>
      </c>
    </row>
    <row r="25" spans="1:24" s="57" customFormat="1" ht="16.5" x14ac:dyDescent="0.25">
      <c r="A25" s="58" t="s">
        <v>112</v>
      </c>
      <c r="B25" s="77">
        <v>303.637</v>
      </c>
      <c r="C25" s="77">
        <v>305.56299999999999</v>
      </c>
      <c r="D25" s="47"/>
      <c r="E25" s="77">
        <f>75.2-0.29022</f>
        <v>74.909779999999998</v>
      </c>
      <c r="F25" s="77">
        <f>81.2-0.310793</f>
        <v>80.889206999999999</v>
      </c>
      <c r="G25" s="77">
        <f>79.3-0.486093</f>
        <v>78.813907</v>
      </c>
      <c r="H25" s="77">
        <f>79.6-0.720052</f>
        <v>78.879947999999999</v>
      </c>
      <c r="I25" s="47"/>
      <c r="J25" s="77">
        <f>SUM(E25:H25)</f>
        <v>313.492842</v>
      </c>
      <c r="K25" s="47"/>
      <c r="L25" s="77">
        <v>75.685000000000002</v>
      </c>
      <c r="M25" s="77">
        <f>80.493</f>
        <v>80.492999999999995</v>
      </c>
      <c r="N25" s="77">
        <f>80.015-1.104</f>
        <v>78.911000000000001</v>
      </c>
      <c r="O25" s="77">
        <f>80.875-1.734</f>
        <v>79.141000000000005</v>
      </c>
      <c r="P25" s="306"/>
      <c r="Q25" s="77">
        <f t="shared" si="15"/>
        <v>314.23</v>
      </c>
      <c r="R25" s="47"/>
      <c r="S25" s="77">
        <f>76.128-2.023</f>
        <v>74.105000000000004</v>
      </c>
      <c r="T25" s="77">
        <f>79.107-2.349</f>
        <v>76.757999999999996</v>
      </c>
      <c r="U25" s="77">
        <f>79.269-2.843</f>
        <v>76.426000000000002</v>
      </c>
      <c r="V25" s="77">
        <v>71.096999999999994</v>
      </c>
      <c r="W25" s="309"/>
      <c r="X25" s="77">
        <f t="shared" si="16"/>
        <v>298.38599999999997</v>
      </c>
    </row>
    <row r="26" spans="1:24" s="62" customFormat="1" ht="16.5" x14ac:dyDescent="0.25">
      <c r="A26" s="67" t="s">
        <v>277</v>
      </c>
      <c r="B26" s="93">
        <v>135.845</v>
      </c>
      <c r="C26" s="93">
        <v>132.71199999999999</v>
      </c>
      <c r="E26" s="93">
        <v>34.299999999999997</v>
      </c>
      <c r="F26" s="93">
        <v>33.200000000000003</v>
      </c>
      <c r="G26" s="93">
        <v>36.1</v>
      </c>
      <c r="H26" s="93">
        <v>31</v>
      </c>
      <c r="J26" s="93">
        <v>134.5</v>
      </c>
      <c r="K26" s="57"/>
      <c r="L26" s="95">
        <v>36.134999999999998</v>
      </c>
      <c r="M26" s="95">
        <v>34.1</v>
      </c>
      <c r="N26" s="95">
        <v>32.832000000000001</v>
      </c>
      <c r="O26" s="95">
        <v>29.222000000000001</v>
      </c>
      <c r="P26" s="305"/>
      <c r="Q26" s="93">
        <f t="shared" si="15"/>
        <v>132.28900000000002</v>
      </c>
      <c r="R26" s="57"/>
      <c r="S26" s="93">
        <v>28.27</v>
      </c>
      <c r="T26" s="93">
        <v>28.984000000000002</v>
      </c>
      <c r="U26" s="93">
        <v>29.527999999999999</v>
      </c>
      <c r="V26" s="93">
        <v>26.001000000000001</v>
      </c>
      <c r="W26" s="307"/>
      <c r="X26" s="93">
        <f t="shared" si="16"/>
        <v>112.78300000000002</v>
      </c>
    </row>
    <row r="27" spans="1:24" s="62" customFormat="1" ht="16.5" x14ac:dyDescent="0.25">
      <c r="A27" s="67" t="s">
        <v>66</v>
      </c>
      <c r="B27" s="68">
        <f>+B22+B26</f>
        <v>716.16100000000006</v>
      </c>
      <c r="C27" s="68">
        <f>+C22+C26</f>
        <v>754.97499999999991</v>
      </c>
      <c r="E27" s="68">
        <f>+E22+E26</f>
        <v>189.16000000000003</v>
      </c>
      <c r="F27" s="68">
        <f>+F22+F26</f>
        <v>202.98000000000002</v>
      </c>
      <c r="G27" s="68">
        <f>+G22+G26</f>
        <v>201.48</v>
      </c>
      <c r="H27" s="68">
        <f>+H22+H26</f>
        <v>217.8</v>
      </c>
      <c r="J27" s="68">
        <f>+J22+J26</f>
        <v>811.32799999999997</v>
      </c>
      <c r="K27" s="57"/>
      <c r="L27" s="68">
        <f>+L22+L26</f>
        <v>215.86500000000001</v>
      </c>
      <c r="M27" s="68">
        <f>+M22+M26</f>
        <v>218.42</v>
      </c>
      <c r="N27" s="68">
        <f>+N22+N26</f>
        <v>224.149</v>
      </c>
      <c r="O27" s="68">
        <f>+O22+O26</f>
        <v>214.76000000000002</v>
      </c>
      <c r="P27" s="305"/>
      <c r="Q27" s="68">
        <f t="shared" si="15"/>
        <v>873.19399999999996</v>
      </c>
      <c r="R27" s="57"/>
      <c r="S27" s="68">
        <f>+S22+S26</f>
        <v>189.12700000000004</v>
      </c>
      <c r="T27" s="68">
        <f>+T22+T26</f>
        <v>207.14599999999999</v>
      </c>
      <c r="U27" s="68">
        <f>+U22+U26</f>
        <v>217.44899999999998</v>
      </c>
      <c r="V27" s="68">
        <f>+V22+V26</f>
        <v>226.86100000000002</v>
      </c>
      <c r="W27" s="307"/>
      <c r="X27" s="68">
        <f>+X22+X26</f>
        <v>840.58299999999997</v>
      </c>
    </row>
    <row r="28" spans="1:24" s="62" customFormat="1" ht="16.5" x14ac:dyDescent="0.25">
      <c r="A28" s="239" t="s">
        <v>302</v>
      </c>
      <c r="B28" s="244">
        <f>+B22/B27</f>
        <v>0.81031499900162107</v>
      </c>
      <c r="C28" s="244">
        <f>+C22/C27</f>
        <v>0.82421669591708335</v>
      </c>
      <c r="D28" s="240"/>
      <c r="E28" s="244">
        <f>+E22/E27</f>
        <v>0.81867202368365399</v>
      </c>
      <c r="F28" s="244">
        <f>+F22/F27</f>
        <v>0.83643708739777312</v>
      </c>
      <c r="G28" s="244">
        <f>+G22/G27</f>
        <v>0.82082588842565019</v>
      </c>
      <c r="H28" s="244">
        <f>+H22/H27</f>
        <v>0.85766758494031226</v>
      </c>
      <c r="I28" s="241"/>
      <c r="J28" s="244">
        <f>+J22/J27</f>
        <v>0.83422241066498382</v>
      </c>
      <c r="K28" s="242"/>
      <c r="L28" s="244">
        <f>+L22/L27</f>
        <v>0.83260371065249117</v>
      </c>
      <c r="M28" s="244">
        <f>+M22/M27</f>
        <v>0.84387876568079845</v>
      </c>
      <c r="N28" s="244">
        <f>+N22/N27</f>
        <v>0.85352600279278523</v>
      </c>
      <c r="O28" s="244">
        <f>+O22/O27</f>
        <v>0.86393183088098335</v>
      </c>
      <c r="P28" s="243"/>
      <c r="Q28" s="244">
        <f>+Q22/Q27</f>
        <v>0.84849987517092418</v>
      </c>
      <c r="R28" s="242"/>
      <c r="S28" s="244">
        <f>+S22/S27</f>
        <v>0.85052372215495409</v>
      </c>
      <c r="T28" s="244">
        <f>+T22/T27</f>
        <v>0.86007936431309318</v>
      </c>
      <c r="U28" s="244">
        <f>+U22/U27</f>
        <v>0.86420723939866362</v>
      </c>
      <c r="V28" s="244">
        <f>+V22/V27</f>
        <v>0.88538796884435844</v>
      </c>
      <c r="X28" s="244">
        <f>+X22/X27</f>
        <v>0.86582764581248961</v>
      </c>
    </row>
    <row r="29" spans="1:24" s="62" customFormat="1" ht="16.5" x14ac:dyDescent="0.25">
      <c r="A29" s="239" t="s">
        <v>303</v>
      </c>
      <c r="B29" s="244">
        <f>+(B24+B25)/B22</f>
        <v>0.70278606828004042</v>
      </c>
      <c r="C29" s="244">
        <f>+(C24+C25)/C22</f>
        <v>0.70800127920188094</v>
      </c>
      <c r="D29" s="240"/>
      <c r="E29" s="244">
        <f>+(E24+E25)/E22</f>
        <v>0.71328942270437801</v>
      </c>
      <c r="F29" s="244">
        <f>+(F24+F25)/F22</f>
        <v>0.70609023442101537</v>
      </c>
      <c r="G29" s="244">
        <f>+(G24+G25)/G22</f>
        <v>0.73092272342483977</v>
      </c>
      <c r="H29" s="244">
        <f>+(H24+H25)/H22</f>
        <v>0.69271948608137046</v>
      </c>
      <c r="I29" s="241"/>
      <c r="J29" s="244">
        <f>+(J24+J25)/J22</f>
        <v>0.71026612374192566</v>
      </c>
      <c r="K29" s="242"/>
      <c r="L29" s="244">
        <f>+(L24+L25)/L22</f>
        <v>0.73515829299504798</v>
      </c>
      <c r="M29" s="244">
        <f>+(M24+M25)/M22</f>
        <v>0.73958333333333337</v>
      </c>
      <c r="N29" s="244">
        <f>+(N24+N25)/N22</f>
        <v>0.77144738836590576</v>
      </c>
      <c r="O29" s="244">
        <f>+(O24+O25)/O22</f>
        <v>0.78157574189653867</v>
      </c>
      <c r="P29" s="243"/>
      <c r="Q29" s="244">
        <f>+(Q24+Q25)/Q22</f>
        <v>0.7572536290077676</v>
      </c>
      <c r="R29" s="242"/>
      <c r="S29" s="244">
        <f>+(S24+S25)/S22</f>
        <v>0.82266858141081811</v>
      </c>
      <c r="T29" s="244">
        <f>+(T24+T25)/T22</f>
        <v>0.79889650991793992</v>
      </c>
      <c r="U29" s="244">
        <f>+(U24+U25)/U22</f>
        <v>0.81129836473837402</v>
      </c>
      <c r="V29" s="244">
        <f>+(V24+V25)/V22</f>
        <v>0.79077466892362824</v>
      </c>
      <c r="X29" s="244">
        <f>+(X24+X25)/X22</f>
        <v>0.8051112943116242</v>
      </c>
    </row>
    <row r="30" spans="1:24" s="47" customFormat="1" ht="16.5" x14ac:dyDescent="0.25">
      <c r="B30" s="77"/>
      <c r="C30" s="77"/>
      <c r="E30" s="77"/>
      <c r="F30" s="77"/>
      <c r="G30" s="77"/>
      <c r="H30" s="77"/>
      <c r="J30" s="77"/>
      <c r="L30" s="77"/>
      <c r="M30" s="77"/>
      <c r="N30" s="77"/>
      <c r="O30" s="77"/>
      <c r="S30" s="77"/>
      <c r="T30" s="77"/>
      <c r="U30" s="77"/>
      <c r="V30" s="77"/>
    </row>
    <row r="31" spans="1:24" ht="33" x14ac:dyDescent="0.2">
      <c r="A31" s="245" t="s">
        <v>305</v>
      </c>
      <c r="B31" s="3"/>
      <c r="J31" s="3"/>
      <c r="L31" s="3"/>
      <c r="M31" s="3"/>
      <c r="N31" s="3"/>
      <c r="O31" s="3"/>
      <c r="S31" s="3"/>
      <c r="T31" s="3"/>
      <c r="U31" s="3"/>
      <c r="V31" s="3"/>
    </row>
    <row r="32" spans="1:24" x14ac:dyDescent="0.2">
      <c r="A32" s="3"/>
      <c r="B32" s="3"/>
      <c r="J32" s="3"/>
      <c r="L32" s="3"/>
      <c r="M32" s="3"/>
      <c r="N32" s="3"/>
      <c r="O32" s="3"/>
      <c r="S32" s="3"/>
      <c r="T32" s="3"/>
      <c r="U32" s="3"/>
      <c r="V32" s="3"/>
    </row>
    <row r="33" spans="1:22" x14ac:dyDescent="0.2">
      <c r="A33" s="3"/>
      <c r="B33" s="3"/>
      <c r="J33" s="3"/>
      <c r="L33" s="3"/>
      <c r="M33" s="3"/>
      <c r="N33" s="3"/>
      <c r="O33" s="3"/>
      <c r="S33" s="3"/>
      <c r="T33" s="3"/>
      <c r="U33" s="3"/>
      <c r="V33" s="3"/>
    </row>
    <row r="34" spans="1:22" x14ac:dyDescent="0.2">
      <c r="A34" s="3"/>
      <c r="B34" s="3"/>
      <c r="J34" s="3"/>
      <c r="L34" s="3"/>
      <c r="M34" s="3"/>
      <c r="N34" s="3"/>
      <c r="O34" s="3"/>
      <c r="S34" s="3"/>
      <c r="T34" s="3"/>
      <c r="U34" s="3"/>
      <c r="V34" s="3"/>
    </row>
    <row r="35" spans="1:22" x14ac:dyDescent="0.2">
      <c r="A35" s="3"/>
      <c r="B35" s="3"/>
      <c r="J35" s="3"/>
      <c r="L35" s="3"/>
      <c r="M35" s="3"/>
      <c r="N35" s="3"/>
      <c r="O35" s="3"/>
      <c r="S35" s="3"/>
      <c r="T35" s="3"/>
      <c r="U35" s="3"/>
      <c r="V35" s="3"/>
    </row>
    <row r="36" spans="1:22" x14ac:dyDescent="0.2">
      <c r="A36" s="3"/>
      <c r="B36" s="3"/>
      <c r="J36" s="3"/>
      <c r="L36" s="3"/>
      <c r="M36" s="3"/>
      <c r="N36" s="3"/>
      <c r="O36" s="3"/>
      <c r="S36" s="3"/>
      <c r="T36" s="3"/>
      <c r="U36" s="3"/>
      <c r="V36" s="3"/>
    </row>
    <row r="37" spans="1:22" x14ac:dyDescent="0.2">
      <c r="A37" s="3"/>
      <c r="B37" s="3"/>
      <c r="J37" s="3"/>
      <c r="L37" s="3"/>
      <c r="M37" s="3"/>
      <c r="N37" s="3"/>
      <c r="O37" s="3"/>
      <c r="S37" s="3"/>
      <c r="T37" s="3"/>
      <c r="U37" s="3"/>
      <c r="V37" s="3"/>
    </row>
    <row r="38" spans="1:22" x14ac:dyDescent="0.2">
      <c r="A38" s="3"/>
      <c r="B38" s="3"/>
      <c r="J38" s="3"/>
      <c r="L38" s="3"/>
      <c r="M38" s="3"/>
      <c r="N38" s="3"/>
      <c r="O38" s="3"/>
      <c r="S38" s="3"/>
      <c r="T38" s="3"/>
      <c r="U38" s="3"/>
      <c r="V38" s="3"/>
    </row>
    <row r="39" spans="1:22" x14ac:dyDescent="0.2">
      <c r="A39" s="3"/>
      <c r="B39" s="3"/>
      <c r="J39" s="3"/>
      <c r="L39" s="3"/>
      <c r="M39" s="3"/>
      <c r="N39" s="3"/>
      <c r="O39" s="3"/>
      <c r="S39" s="3"/>
      <c r="T39" s="3"/>
      <c r="U39" s="3"/>
      <c r="V39" s="3"/>
    </row>
    <row r="40" spans="1:22" x14ac:dyDescent="0.2">
      <c r="A40" s="3"/>
      <c r="B40" s="3"/>
      <c r="J40" s="3"/>
      <c r="L40" s="3"/>
      <c r="M40" s="3"/>
      <c r="N40" s="3"/>
      <c r="O40" s="3"/>
      <c r="S40" s="3"/>
      <c r="T40" s="3"/>
      <c r="U40" s="3" t="s">
        <v>11</v>
      </c>
      <c r="V40" s="3" t="s">
        <v>11</v>
      </c>
    </row>
    <row r="41" spans="1:22" x14ac:dyDescent="0.2">
      <c r="A41" s="3"/>
      <c r="B41" s="3"/>
      <c r="J41" s="3"/>
      <c r="L41" s="3"/>
      <c r="M41" s="3"/>
      <c r="N41" s="3"/>
      <c r="O41" s="3"/>
      <c r="S41" s="3"/>
      <c r="T41" s="3"/>
      <c r="U41" s="3"/>
      <c r="V41" s="3"/>
    </row>
    <row r="42" spans="1:22" x14ac:dyDescent="0.2">
      <c r="A42" s="3"/>
      <c r="B42" s="3"/>
      <c r="J42" s="3"/>
      <c r="L42" s="3"/>
      <c r="M42" s="3"/>
      <c r="N42" s="3"/>
      <c r="O42" s="3"/>
      <c r="S42" s="3"/>
      <c r="T42" s="3"/>
      <c r="U42" s="3"/>
      <c r="V42" s="3"/>
    </row>
    <row r="43" spans="1:22" x14ac:dyDescent="0.2">
      <c r="A43" s="3"/>
      <c r="B43" s="3"/>
      <c r="J43" s="3"/>
      <c r="L43" s="3"/>
      <c r="M43" s="3"/>
      <c r="N43" s="3"/>
      <c r="O43" s="3"/>
      <c r="S43" s="3"/>
      <c r="T43" s="3"/>
      <c r="U43" s="3"/>
      <c r="V43" s="3"/>
    </row>
    <row r="44" spans="1:22" x14ac:dyDescent="0.2">
      <c r="A44" s="3"/>
      <c r="B44" s="3"/>
      <c r="J44" s="3"/>
      <c r="L44" s="3"/>
      <c r="M44" s="3"/>
      <c r="N44" s="3"/>
      <c r="O44" s="3"/>
      <c r="S44" s="3"/>
      <c r="T44" s="3"/>
      <c r="U44" s="3"/>
      <c r="V44" s="3"/>
    </row>
    <row r="45" spans="1:22" x14ac:dyDescent="0.2">
      <c r="A45" s="3"/>
      <c r="B45" s="3"/>
      <c r="J45" s="3"/>
      <c r="L45" s="3"/>
      <c r="M45" s="3"/>
      <c r="N45" s="3"/>
      <c r="O45" s="3"/>
      <c r="S45" s="3"/>
      <c r="T45" s="3"/>
      <c r="U45" s="3"/>
      <c r="V45" s="3"/>
    </row>
    <row r="46" spans="1:22" x14ac:dyDescent="0.2">
      <c r="A46" s="3"/>
      <c r="B46" s="3"/>
      <c r="J46" s="3"/>
      <c r="L46" s="3"/>
      <c r="M46" s="3"/>
      <c r="N46" s="3"/>
      <c r="O46" s="3"/>
      <c r="S46" s="3"/>
      <c r="T46" s="3"/>
      <c r="U46" s="3"/>
      <c r="V46" s="3"/>
    </row>
    <row r="47" spans="1:22" x14ac:dyDescent="0.2">
      <c r="A47" s="3"/>
      <c r="B47" s="3"/>
      <c r="J47" s="3"/>
      <c r="L47" s="3"/>
      <c r="M47" s="3"/>
      <c r="N47" s="3"/>
      <c r="O47" s="3"/>
      <c r="S47" s="3"/>
      <c r="T47" s="3"/>
      <c r="U47" s="3"/>
      <c r="V47" s="3"/>
    </row>
    <row r="48" spans="1:22" x14ac:dyDescent="0.2">
      <c r="A48" s="3"/>
      <c r="B48" s="3"/>
      <c r="J48" s="3"/>
      <c r="L48" s="3"/>
      <c r="M48" s="3"/>
      <c r="N48" s="3"/>
      <c r="O48" s="3"/>
      <c r="S48" s="3"/>
      <c r="T48" s="3"/>
      <c r="U48" s="3"/>
      <c r="V48" s="3"/>
    </row>
    <row r="49" spans="1:22" x14ac:dyDescent="0.2">
      <c r="A49" s="3"/>
      <c r="B49" s="3"/>
      <c r="J49" s="3"/>
      <c r="L49" s="3"/>
      <c r="M49" s="3"/>
      <c r="N49" s="3"/>
      <c r="O49" s="3"/>
      <c r="S49" s="3"/>
      <c r="T49" s="3"/>
      <c r="U49" s="3"/>
      <c r="V49" s="3"/>
    </row>
    <row r="50" spans="1:22" x14ac:dyDescent="0.2">
      <c r="A50" s="3"/>
      <c r="B50" s="3"/>
      <c r="J50" s="3"/>
      <c r="L50" s="3"/>
      <c r="M50" s="3"/>
      <c r="N50" s="3"/>
      <c r="O50" s="3"/>
      <c r="S50" s="3"/>
      <c r="T50" s="3"/>
      <c r="U50" s="3"/>
      <c r="V50" s="3"/>
    </row>
    <row r="51" spans="1:22" x14ac:dyDescent="0.2">
      <c r="A51" s="3"/>
      <c r="B51" s="3"/>
      <c r="J51" s="3"/>
      <c r="L51" s="3"/>
      <c r="M51" s="3"/>
      <c r="N51" s="3"/>
      <c r="O51" s="3"/>
      <c r="S51" s="3"/>
      <c r="T51" s="3"/>
      <c r="U51" s="3"/>
      <c r="V51" s="3"/>
    </row>
    <row r="52" spans="1:22" x14ac:dyDescent="0.2">
      <c r="A52" s="3"/>
      <c r="B52" s="3"/>
      <c r="J52" s="3"/>
      <c r="L52" s="3"/>
      <c r="M52" s="3"/>
      <c r="N52" s="3"/>
      <c r="O52" s="3"/>
      <c r="S52" s="3"/>
      <c r="T52" s="3"/>
      <c r="U52" s="3"/>
      <c r="V52" s="3"/>
    </row>
    <row r="53" spans="1:22" x14ac:dyDescent="0.2">
      <c r="A53" s="3"/>
      <c r="B53" s="3"/>
      <c r="J53" s="3"/>
      <c r="L53" s="3"/>
      <c r="M53" s="3"/>
      <c r="N53" s="3"/>
      <c r="O53" s="3"/>
      <c r="S53" s="3"/>
      <c r="T53" s="3"/>
      <c r="U53" s="3"/>
      <c r="V53" s="3"/>
    </row>
    <row r="54" spans="1:22" x14ac:dyDescent="0.2">
      <c r="A54" s="3"/>
      <c r="B54" s="3"/>
      <c r="J54" s="3"/>
      <c r="L54" s="3"/>
      <c r="M54" s="3"/>
      <c r="N54" s="3"/>
      <c r="O54" s="3"/>
      <c r="S54" s="3"/>
      <c r="T54" s="3"/>
      <c r="U54" s="3"/>
      <c r="V54" s="3"/>
    </row>
    <row r="55" spans="1:22" x14ac:dyDescent="0.2">
      <c r="A55" s="3"/>
      <c r="B55" s="3"/>
      <c r="J55" s="3"/>
      <c r="L55" s="3"/>
      <c r="M55" s="3"/>
      <c r="N55" s="3"/>
      <c r="O55" s="3"/>
      <c r="S55" s="3"/>
      <c r="T55" s="3"/>
      <c r="U55" s="3"/>
      <c r="V55" s="3"/>
    </row>
    <row r="56" spans="1:22" x14ac:dyDescent="0.2">
      <c r="A56" s="3"/>
      <c r="B56" s="3"/>
      <c r="J56" s="3"/>
      <c r="L56" s="3"/>
      <c r="M56" s="3"/>
      <c r="N56" s="3"/>
      <c r="O56" s="3"/>
      <c r="S56" s="3"/>
      <c r="T56" s="3"/>
      <c r="U56" s="3"/>
      <c r="V56" s="3"/>
    </row>
    <row r="57" spans="1:22" x14ac:dyDescent="0.2">
      <c r="A57" s="3"/>
      <c r="B57" s="3"/>
      <c r="J57" s="3"/>
      <c r="L57" s="3"/>
      <c r="M57" s="3"/>
      <c r="N57" s="3"/>
      <c r="O57" s="3"/>
      <c r="S57" s="3"/>
      <c r="T57" s="3"/>
      <c r="U57" s="3"/>
      <c r="V57" s="3"/>
    </row>
    <row r="58" spans="1:22" x14ac:dyDescent="0.2">
      <c r="A58" s="3"/>
      <c r="B58" s="3"/>
      <c r="J58" s="3"/>
      <c r="L58" s="3"/>
      <c r="M58" s="3"/>
      <c r="N58" s="3"/>
      <c r="O58" s="3"/>
      <c r="S58" s="3"/>
      <c r="T58" s="3"/>
      <c r="U58" s="3"/>
      <c r="V58" s="3"/>
    </row>
    <row r="59" spans="1:22" x14ac:dyDescent="0.2">
      <c r="A59" s="3"/>
      <c r="B59" s="3"/>
      <c r="J59" s="3"/>
      <c r="L59" s="3"/>
      <c r="M59" s="3"/>
      <c r="N59" s="3"/>
      <c r="O59" s="3"/>
      <c r="S59" s="3"/>
      <c r="T59" s="3"/>
      <c r="U59" s="3"/>
      <c r="V59" s="3"/>
    </row>
    <row r="60" spans="1:22" x14ac:dyDescent="0.2">
      <c r="A60" s="3"/>
      <c r="B60" s="3"/>
      <c r="J60" s="3"/>
      <c r="L60" s="3"/>
      <c r="M60" s="3"/>
      <c r="N60" s="3"/>
      <c r="O60" s="3"/>
      <c r="S60" s="3"/>
      <c r="T60" s="3"/>
      <c r="U60" s="3"/>
      <c r="V60" s="3"/>
    </row>
    <row r="61" spans="1:22" x14ac:dyDescent="0.2">
      <c r="A61" s="3"/>
      <c r="B61" s="3"/>
      <c r="J61" s="3"/>
      <c r="L61" s="3"/>
      <c r="M61" s="3"/>
      <c r="N61" s="3"/>
      <c r="O61" s="3"/>
      <c r="S61" s="3"/>
      <c r="T61" s="3"/>
      <c r="U61" s="3"/>
      <c r="V61" s="3"/>
    </row>
    <row r="62" spans="1:22" x14ac:dyDescent="0.2">
      <c r="A62" s="3"/>
      <c r="B62" s="3"/>
      <c r="J62" s="3"/>
      <c r="L62" s="3"/>
      <c r="M62" s="3"/>
      <c r="N62" s="3"/>
      <c r="O62" s="3"/>
      <c r="S62" s="3"/>
      <c r="T62" s="3"/>
      <c r="U62" s="3"/>
      <c r="V62" s="3"/>
    </row>
    <row r="63" spans="1:22" x14ac:dyDescent="0.2">
      <c r="A63" s="3"/>
      <c r="B63" s="3"/>
      <c r="J63" s="3"/>
      <c r="L63" s="3"/>
      <c r="M63" s="3"/>
      <c r="N63" s="3"/>
      <c r="O63" s="3"/>
      <c r="S63" s="3"/>
      <c r="T63" s="3"/>
      <c r="U63" s="3"/>
      <c r="V63" s="3"/>
    </row>
    <row r="64" spans="1:22" x14ac:dyDescent="0.2">
      <c r="A64" s="3"/>
      <c r="B64" s="3"/>
      <c r="J64" s="3"/>
      <c r="L64" s="3"/>
      <c r="M64" s="3"/>
      <c r="N64" s="3"/>
      <c r="O64" s="3"/>
      <c r="S64" s="3"/>
      <c r="T64" s="3"/>
      <c r="U64" s="3"/>
      <c r="V64" s="3"/>
    </row>
    <row r="65" spans="1:22" x14ac:dyDescent="0.2">
      <c r="A65" s="3"/>
      <c r="B65" s="3"/>
      <c r="J65" s="3"/>
      <c r="L65" s="3"/>
      <c r="M65" s="3"/>
      <c r="N65" s="3"/>
      <c r="O65" s="3"/>
      <c r="S65" s="3"/>
      <c r="T65" s="3"/>
      <c r="U65" s="3"/>
      <c r="V65" s="3"/>
    </row>
    <row r="66" spans="1:22" x14ac:dyDescent="0.2">
      <c r="A66" s="3"/>
      <c r="B66" s="3"/>
      <c r="J66" s="3"/>
      <c r="L66" s="3"/>
      <c r="M66" s="3"/>
      <c r="N66" s="3"/>
      <c r="O66" s="3"/>
      <c r="S66" s="3"/>
      <c r="T66" s="3"/>
      <c r="U66" s="3"/>
      <c r="V66" s="3"/>
    </row>
    <row r="67" spans="1:22" x14ac:dyDescent="0.2">
      <c r="A67" s="3"/>
      <c r="B67" s="3"/>
      <c r="J67" s="3"/>
      <c r="L67" s="3"/>
      <c r="M67" s="3"/>
      <c r="N67" s="3"/>
      <c r="O67" s="3"/>
      <c r="S67" s="3"/>
      <c r="T67" s="3"/>
      <c r="U67" s="3"/>
      <c r="V67" s="3"/>
    </row>
    <row r="68" spans="1:22" x14ac:dyDescent="0.2">
      <c r="A68" s="3"/>
      <c r="B68" s="3"/>
      <c r="J68" s="3"/>
      <c r="L68" s="3"/>
      <c r="M68" s="3"/>
      <c r="N68" s="3"/>
      <c r="O68" s="3"/>
      <c r="S68" s="3"/>
      <c r="T68" s="3"/>
      <c r="U68" s="3"/>
      <c r="V68" s="3"/>
    </row>
    <row r="69" spans="1:22" x14ac:dyDescent="0.2">
      <c r="A69" s="3"/>
      <c r="B69" s="3"/>
      <c r="J69" s="3"/>
      <c r="L69" s="3"/>
      <c r="M69" s="3"/>
      <c r="N69" s="3"/>
      <c r="O69" s="3"/>
      <c r="S69" s="3"/>
      <c r="T69" s="3"/>
      <c r="U69" s="3"/>
      <c r="V69" s="3"/>
    </row>
    <row r="70" spans="1:22" x14ac:dyDescent="0.2">
      <c r="A70" s="3"/>
      <c r="B70" s="3"/>
      <c r="J70" s="3"/>
      <c r="L70" s="3"/>
      <c r="M70" s="3"/>
      <c r="N70" s="3"/>
      <c r="O70" s="3"/>
      <c r="S70" s="3"/>
      <c r="T70" s="3"/>
      <c r="U70" s="3"/>
      <c r="V70" s="3"/>
    </row>
    <row r="71" spans="1:22" x14ac:dyDescent="0.2">
      <c r="A71" s="3"/>
      <c r="B71" s="3"/>
      <c r="J71" s="3"/>
      <c r="L71" s="3"/>
      <c r="M71" s="3"/>
      <c r="N71" s="3"/>
      <c r="O71" s="3"/>
      <c r="S71" s="3"/>
      <c r="T71" s="3"/>
      <c r="U71" s="3"/>
      <c r="V71" s="3"/>
    </row>
    <row r="72" spans="1:22" x14ac:dyDescent="0.2">
      <c r="A72" s="3"/>
      <c r="B72" s="3"/>
      <c r="J72" s="3"/>
      <c r="L72" s="3"/>
      <c r="M72" s="3"/>
      <c r="N72" s="3"/>
      <c r="O72" s="3"/>
      <c r="S72" s="3"/>
      <c r="T72" s="3"/>
      <c r="U72" s="3"/>
      <c r="V72" s="3"/>
    </row>
    <row r="73" spans="1:22" x14ac:dyDescent="0.2">
      <c r="A73" s="3"/>
      <c r="B73" s="3"/>
      <c r="J73" s="3"/>
      <c r="L73" s="3"/>
      <c r="M73" s="3"/>
      <c r="N73" s="3"/>
      <c r="O73" s="3"/>
      <c r="S73" s="3"/>
      <c r="T73" s="3"/>
      <c r="U73" s="3"/>
      <c r="V73" s="3"/>
    </row>
    <row r="74" spans="1:22" x14ac:dyDescent="0.2">
      <c r="A74" s="3"/>
      <c r="B74" s="3"/>
      <c r="J74" s="3"/>
      <c r="L74" s="3"/>
      <c r="M74" s="3"/>
      <c r="N74" s="3"/>
      <c r="O74" s="3"/>
      <c r="S74" s="3"/>
      <c r="T74" s="3"/>
      <c r="U74" s="3"/>
      <c r="V74" s="3"/>
    </row>
    <row r="75" spans="1:22" x14ac:dyDescent="0.2">
      <c r="A75" s="3"/>
      <c r="B75" s="3"/>
      <c r="J75" s="3"/>
      <c r="L75" s="3"/>
      <c r="M75" s="3"/>
      <c r="N75" s="3"/>
      <c r="O75" s="3"/>
      <c r="S75" s="3"/>
      <c r="T75" s="3"/>
      <c r="U75" s="3"/>
      <c r="V75" s="3"/>
    </row>
    <row r="76" spans="1:22" x14ac:dyDescent="0.2">
      <c r="A76" s="3"/>
      <c r="B76" s="3"/>
      <c r="J76" s="3"/>
      <c r="L76" s="3"/>
      <c r="M76" s="3"/>
      <c r="N76" s="3"/>
      <c r="O76" s="3"/>
      <c r="S76" s="3"/>
      <c r="T76" s="3"/>
      <c r="U76" s="3"/>
      <c r="V76" s="3"/>
    </row>
    <row r="77" spans="1:22" x14ac:dyDescent="0.2">
      <c r="A77" s="3"/>
      <c r="B77" s="3"/>
      <c r="J77" s="3"/>
      <c r="L77" s="3"/>
      <c r="M77" s="3"/>
      <c r="N77" s="3"/>
      <c r="O77" s="3"/>
      <c r="S77" s="3"/>
      <c r="T77" s="3"/>
      <c r="U77" s="3"/>
      <c r="V77" s="3"/>
    </row>
    <row r="78" spans="1:22" x14ac:dyDescent="0.2">
      <c r="A78" s="3"/>
      <c r="B78" s="3"/>
      <c r="J78" s="3"/>
      <c r="L78" s="3"/>
      <c r="M78" s="3"/>
      <c r="N78" s="3"/>
      <c r="O78" s="3"/>
      <c r="S78" s="3"/>
      <c r="T78" s="3"/>
      <c r="U78" s="3"/>
      <c r="V78" s="3"/>
    </row>
    <row r="79" spans="1:22" x14ac:dyDescent="0.2">
      <c r="A79" s="3"/>
      <c r="B79" s="3"/>
      <c r="J79" s="3"/>
      <c r="L79" s="3"/>
      <c r="M79" s="3"/>
      <c r="N79" s="3"/>
      <c r="O79" s="3"/>
      <c r="S79" s="3"/>
      <c r="T79" s="3"/>
      <c r="U79" s="3"/>
      <c r="V79" s="3"/>
    </row>
    <row r="80" spans="1:22" x14ac:dyDescent="0.2">
      <c r="A80" s="3"/>
      <c r="B80" s="3"/>
      <c r="J80" s="3"/>
      <c r="L80" s="3"/>
      <c r="M80" s="3"/>
      <c r="N80" s="3"/>
      <c r="O80" s="3"/>
      <c r="S80" s="3"/>
      <c r="T80" s="3"/>
      <c r="U80" s="3"/>
      <c r="V80" s="3"/>
    </row>
    <row r="81" spans="1:22" x14ac:dyDescent="0.2">
      <c r="A81" s="3"/>
      <c r="B81" s="3"/>
      <c r="J81" s="3"/>
      <c r="L81" s="3"/>
      <c r="M81" s="3"/>
      <c r="N81" s="3"/>
      <c r="O81" s="3"/>
      <c r="S81" s="3"/>
      <c r="T81" s="3"/>
      <c r="U81" s="3"/>
      <c r="V81" s="3"/>
    </row>
    <row r="82" spans="1:22" x14ac:dyDescent="0.2">
      <c r="A82" s="3"/>
      <c r="B82" s="3"/>
      <c r="J82" s="3"/>
      <c r="L82" s="3"/>
      <c r="M82" s="3"/>
      <c r="N82" s="3"/>
      <c r="O82" s="3"/>
      <c r="S82" s="3"/>
      <c r="T82" s="3"/>
      <c r="U82" s="3"/>
      <c r="V82" s="3"/>
    </row>
    <row r="83" spans="1:22" x14ac:dyDescent="0.2">
      <c r="A83" s="3"/>
      <c r="B83" s="3"/>
      <c r="J83" s="3"/>
      <c r="L83" s="3"/>
      <c r="M83" s="3"/>
      <c r="N83" s="3"/>
      <c r="O83" s="3"/>
      <c r="S83" s="3"/>
      <c r="T83" s="3"/>
      <c r="U83" s="3"/>
      <c r="V83" s="3"/>
    </row>
    <row r="84" spans="1:22" x14ac:dyDescent="0.2">
      <c r="A84" s="3"/>
      <c r="B84" s="3"/>
      <c r="J84" s="3"/>
      <c r="L84" s="3"/>
      <c r="M84" s="3"/>
      <c r="N84" s="3"/>
      <c r="O84" s="3"/>
      <c r="S84" s="3"/>
      <c r="T84" s="3"/>
      <c r="U84" s="3"/>
      <c r="V84" s="3"/>
    </row>
    <row r="85" spans="1:22" x14ac:dyDescent="0.2">
      <c r="A85" s="3"/>
      <c r="B85" s="3"/>
      <c r="J85" s="3"/>
      <c r="L85" s="3"/>
      <c r="M85" s="3"/>
      <c r="N85" s="3"/>
      <c r="O85" s="3"/>
      <c r="S85" s="3"/>
      <c r="T85" s="3"/>
      <c r="U85" s="3"/>
      <c r="V85" s="3"/>
    </row>
    <row r="86" spans="1:22" x14ac:dyDescent="0.2">
      <c r="A86" s="3"/>
      <c r="B86" s="3"/>
      <c r="J86" s="3"/>
      <c r="L86" s="3"/>
      <c r="M86" s="3"/>
      <c r="N86" s="3"/>
      <c r="O86" s="3"/>
      <c r="S86" s="3"/>
      <c r="T86" s="3"/>
      <c r="U86" s="3"/>
      <c r="V86" s="3"/>
    </row>
    <row r="87" spans="1:22" x14ac:dyDescent="0.2">
      <c r="A87" s="3"/>
      <c r="B87" s="3"/>
      <c r="J87" s="3"/>
      <c r="L87" s="3"/>
      <c r="M87" s="3"/>
      <c r="N87" s="3"/>
      <c r="O87" s="3"/>
      <c r="S87" s="3"/>
      <c r="T87" s="3"/>
      <c r="U87" s="3"/>
      <c r="V87" s="3"/>
    </row>
    <row r="88" spans="1:22" x14ac:dyDescent="0.2">
      <c r="A88" s="3"/>
      <c r="B88" s="3"/>
      <c r="J88" s="3"/>
      <c r="L88" s="3"/>
      <c r="M88" s="3"/>
      <c r="N88" s="3"/>
      <c r="O88" s="3"/>
      <c r="S88" s="3"/>
      <c r="T88" s="3"/>
      <c r="U88" s="3"/>
      <c r="V88" s="3"/>
    </row>
    <row r="89" spans="1:22" x14ac:dyDescent="0.2">
      <c r="A89" s="3"/>
      <c r="B89" s="3"/>
      <c r="J89" s="3"/>
      <c r="L89" s="3"/>
      <c r="M89" s="3"/>
      <c r="N89" s="3"/>
      <c r="O89" s="3"/>
      <c r="S89" s="3"/>
      <c r="T89" s="3"/>
      <c r="U89" s="3"/>
      <c r="V89" s="3"/>
    </row>
    <row r="90" spans="1:22" x14ac:dyDescent="0.2">
      <c r="A90" s="3"/>
      <c r="B90" s="3"/>
      <c r="J90" s="3"/>
      <c r="L90" s="3"/>
      <c r="M90" s="3"/>
      <c r="N90" s="3"/>
      <c r="O90" s="3"/>
      <c r="S90" s="3"/>
      <c r="T90" s="3"/>
      <c r="U90" s="3"/>
      <c r="V90" s="3"/>
    </row>
    <row r="91" spans="1:22" x14ac:dyDescent="0.2">
      <c r="A91" s="3"/>
      <c r="B91" s="3"/>
      <c r="J91" s="3"/>
      <c r="L91" s="3"/>
      <c r="M91" s="3"/>
      <c r="N91" s="3"/>
      <c r="O91" s="3"/>
      <c r="S91" s="3"/>
      <c r="T91" s="3"/>
      <c r="U91" s="3"/>
      <c r="V91" s="3"/>
    </row>
    <row r="92" spans="1:22" x14ac:dyDescent="0.2">
      <c r="A92" s="3"/>
      <c r="B92" s="3"/>
      <c r="J92" s="3"/>
      <c r="L92" s="3"/>
      <c r="M92" s="3"/>
      <c r="N92" s="3"/>
      <c r="O92" s="3"/>
      <c r="S92" s="3"/>
      <c r="T92" s="3"/>
      <c r="U92" s="3"/>
      <c r="V92" s="3"/>
    </row>
    <row r="93" spans="1:22" x14ac:dyDescent="0.2">
      <c r="A93" s="3"/>
      <c r="B93" s="3"/>
      <c r="J93" s="3"/>
      <c r="L93" s="3"/>
      <c r="M93" s="3"/>
      <c r="N93" s="3"/>
      <c r="O93" s="3"/>
      <c r="S93" s="3"/>
      <c r="T93" s="3"/>
      <c r="U93" s="3"/>
      <c r="V93" s="3"/>
    </row>
    <row r="94" spans="1:22" x14ac:dyDescent="0.2">
      <c r="A94" s="3"/>
      <c r="B94" s="3"/>
      <c r="J94" s="3"/>
      <c r="L94" s="3"/>
      <c r="M94" s="3"/>
      <c r="N94" s="3"/>
      <c r="O94" s="3"/>
      <c r="S94" s="3"/>
      <c r="T94" s="3"/>
      <c r="U94" s="3"/>
      <c r="V94" s="3"/>
    </row>
    <row r="95" spans="1:22" x14ac:dyDescent="0.2">
      <c r="A95" s="3"/>
      <c r="B95" s="3"/>
      <c r="J95" s="3"/>
      <c r="L95" s="3"/>
      <c r="M95" s="3"/>
      <c r="N95" s="3"/>
      <c r="O95" s="3"/>
      <c r="S95" s="3"/>
      <c r="T95" s="3"/>
      <c r="U95" s="3"/>
      <c r="V95" s="3"/>
    </row>
    <row r="96" spans="1:22" x14ac:dyDescent="0.2">
      <c r="A96" s="3"/>
      <c r="B96" s="3"/>
      <c r="J96" s="3"/>
      <c r="L96" s="3"/>
      <c r="M96" s="3"/>
      <c r="N96" s="3"/>
      <c r="O96" s="3"/>
      <c r="S96" s="3"/>
      <c r="T96" s="3"/>
      <c r="U96" s="3"/>
      <c r="V96" s="3"/>
    </row>
    <row r="97" spans="1:22" x14ac:dyDescent="0.2">
      <c r="A97" s="3"/>
      <c r="B97" s="3"/>
      <c r="J97" s="3"/>
      <c r="L97" s="3"/>
      <c r="M97" s="3"/>
      <c r="N97" s="3"/>
      <c r="O97" s="3"/>
      <c r="S97" s="3"/>
      <c r="T97" s="3"/>
      <c r="U97" s="3"/>
      <c r="V97" s="3"/>
    </row>
    <row r="98" spans="1:22" x14ac:dyDescent="0.2">
      <c r="A98" s="3"/>
      <c r="B98" s="3"/>
      <c r="J98" s="3"/>
      <c r="L98" s="3"/>
      <c r="M98" s="3"/>
      <c r="N98" s="3"/>
      <c r="O98" s="3"/>
      <c r="S98" s="3"/>
      <c r="T98" s="3"/>
      <c r="U98" s="3"/>
      <c r="V98" s="3"/>
    </row>
    <row r="99" spans="1:22" x14ac:dyDescent="0.2">
      <c r="A99" s="3"/>
      <c r="B99" s="3"/>
      <c r="J99" s="3"/>
      <c r="L99" s="3"/>
      <c r="M99" s="3"/>
      <c r="N99" s="3"/>
      <c r="O99" s="3"/>
      <c r="S99" s="3"/>
      <c r="T99" s="3"/>
      <c r="U99" s="3"/>
      <c r="V99" s="3"/>
    </row>
    <row r="100" spans="1:22" x14ac:dyDescent="0.2">
      <c r="A100" s="3"/>
      <c r="B100" s="3"/>
      <c r="J100" s="3"/>
      <c r="L100" s="3"/>
      <c r="M100" s="3"/>
      <c r="N100" s="3"/>
      <c r="O100" s="3"/>
      <c r="S100" s="3"/>
      <c r="T100" s="3"/>
      <c r="U100" s="3"/>
      <c r="V100" s="3"/>
    </row>
    <row r="101" spans="1:22" x14ac:dyDescent="0.2">
      <c r="A101" s="3"/>
      <c r="B101" s="3"/>
      <c r="J101" s="3"/>
      <c r="L101" s="3"/>
      <c r="M101" s="3"/>
      <c r="N101" s="3"/>
      <c r="O101" s="3"/>
      <c r="S101" s="3"/>
      <c r="T101" s="3"/>
      <c r="U101" s="3"/>
      <c r="V101" s="3"/>
    </row>
    <row r="102" spans="1:22" x14ac:dyDescent="0.2">
      <c r="A102" s="3"/>
      <c r="B102" s="3"/>
      <c r="J102" s="3"/>
      <c r="L102" s="3"/>
      <c r="M102" s="3"/>
      <c r="N102" s="3"/>
      <c r="O102" s="3"/>
      <c r="S102" s="3"/>
      <c r="T102" s="3"/>
      <c r="U102" s="3"/>
      <c r="V102" s="3"/>
    </row>
    <row r="103" spans="1:22" x14ac:dyDescent="0.2">
      <c r="A103" s="3"/>
      <c r="B103" s="3"/>
      <c r="J103" s="3"/>
      <c r="L103" s="3"/>
      <c r="M103" s="3"/>
      <c r="N103" s="3"/>
      <c r="O103" s="3"/>
      <c r="S103" s="3"/>
      <c r="T103" s="3"/>
      <c r="U103" s="3"/>
      <c r="V103" s="3"/>
    </row>
    <row r="104" spans="1:22" x14ac:dyDescent="0.2">
      <c r="A104" s="3"/>
      <c r="B104" s="3"/>
      <c r="J104" s="3"/>
      <c r="L104" s="3"/>
      <c r="M104" s="3"/>
      <c r="N104" s="3"/>
      <c r="O104" s="3"/>
      <c r="S104" s="3"/>
      <c r="T104" s="3"/>
      <c r="U104" s="3"/>
      <c r="V104" s="3"/>
    </row>
    <row r="105" spans="1:22" x14ac:dyDescent="0.2">
      <c r="A105" s="3"/>
      <c r="B105" s="3"/>
      <c r="J105" s="3"/>
      <c r="L105" s="3"/>
      <c r="M105" s="3"/>
      <c r="N105" s="3"/>
      <c r="O105" s="3"/>
      <c r="S105" s="3"/>
      <c r="T105" s="3"/>
      <c r="U105" s="3"/>
      <c r="V105" s="3"/>
    </row>
    <row r="106" spans="1:22" x14ac:dyDescent="0.2">
      <c r="A106" s="3"/>
      <c r="B106" s="3"/>
      <c r="J106" s="3"/>
      <c r="L106" s="3"/>
      <c r="M106" s="3"/>
      <c r="N106" s="3"/>
      <c r="O106" s="3"/>
      <c r="S106" s="3"/>
      <c r="T106" s="3"/>
      <c r="U106" s="3"/>
      <c r="V106" s="3"/>
    </row>
    <row r="107" spans="1:22" x14ac:dyDescent="0.2">
      <c r="A107" s="3"/>
      <c r="B107" s="3"/>
      <c r="J107" s="3"/>
      <c r="L107" s="3"/>
      <c r="M107" s="3"/>
      <c r="N107" s="3"/>
      <c r="O107" s="3"/>
      <c r="S107" s="3"/>
      <c r="T107" s="3"/>
      <c r="U107" s="3"/>
      <c r="V107" s="3"/>
    </row>
    <row r="108" spans="1:22" x14ac:dyDescent="0.2">
      <c r="A108" s="3"/>
      <c r="B108" s="3"/>
      <c r="J108" s="3"/>
      <c r="L108" s="3"/>
      <c r="M108" s="3"/>
      <c r="N108" s="3"/>
      <c r="O108" s="3"/>
      <c r="S108" s="3"/>
      <c r="T108" s="3"/>
      <c r="U108" s="3"/>
      <c r="V108" s="3"/>
    </row>
    <row r="109" spans="1:22" x14ac:dyDescent="0.2">
      <c r="A109" s="3"/>
      <c r="B109" s="3"/>
      <c r="J109" s="3"/>
      <c r="L109" s="3"/>
      <c r="M109" s="3"/>
      <c r="N109" s="3"/>
      <c r="O109" s="3"/>
      <c r="S109" s="3"/>
      <c r="T109" s="3"/>
      <c r="U109" s="3"/>
      <c r="V109" s="3"/>
    </row>
    <row r="110" spans="1:22" x14ac:dyDescent="0.2">
      <c r="A110" s="3"/>
      <c r="B110" s="3"/>
      <c r="J110" s="3"/>
      <c r="L110" s="3"/>
      <c r="M110" s="3"/>
      <c r="N110" s="3"/>
      <c r="O110" s="3"/>
      <c r="S110" s="3"/>
      <c r="T110" s="3"/>
      <c r="U110" s="3"/>
      <c r="V110" s="3"/>
    </row>
    <row r="111" spans="1:22" x14ac:dyDescent="0.2">
      <c r="A111" s="3"/>
      <c r="B111" s="3"/>
      <c r="J111" s="3"/>
      <c r="L111" s="3"/>
      <c r="M111" s="3"/>
      <c r="N111" s="3"/>
      <c r="O111" s="3"/>
      <c r="S111" s="3"/>
      <c r="T111" s="3"/>
      <c r="U111" s="3"/>
      <c r="V111" s="3"/>
    </row>
    <row r="112" spans="1:22" x14ac:dyDescent="0.2">
      <c r="A112" s="3"/>
      <c r="B112" s="3"/>
      <c r="J112" s="3"/>
      <c r="L112" s="3"/>
      <c r="M112" s="3"/>
      <c r="N112" s="3"/>
      <c r="O112" s="3"/>
      <c r="S112" s="3"/>
      <c r="T112" s="3"/>
      <c r="U112" s="3"/>
      <c r="V112" s="3"/>
    </row>
    <row r="113" spans="1:22" x14ac:dyDescent="0.2">
      <c r="A113" s="3"/>
      <c r="B113" s="3"/>
      <c r="J113" s="3"/>
      <c r="L113" s="3"/>
      <c r="M113" s="3"/>
      <c r="N113" s="3"/>
      <c r="O113" s="3"/>
      <c r="S113" s="3"/>
      <c r="T113" s="3"/>
      <c r="U113" s="3"/>
      <c r="V113" s="3"/>
    </row>
    <row r="114" spans="1:22" x14ac:dyDescent="0.2">
      <c r="A114" s="3"/>
      <c r="B114" s="3"/>
      <c r="J114" s="3"/>
      <c r="L114" s="3"/>
      <c r="M114" s="3"/>
      <c r="N114" s="3"/>
      <c r="O114" s="3"/>
      <c r="S114" s="3"/>
      <c r="T114" s="3"/>
      <c r="U114" s="3"/>
      <c r="V114" s="3"/>
    </row>
    <row r="115" spans="1:22" x14ac:dyDescent="0.2">
      <c r="A115" s="3"/>
      <c r="B115" s="3"/>
      <c r="J115" s="3"/>
      <c r="L115" s="3"/>
      <c r="M115" s="3"/>
      <c r="N115" s="3"/>
      <c r="O115" s="3"/>
      <c r="S115" s="3"/>
      <c r="T115" s="3"/>
      <c r="U115" s="3"/>
      <c r="V115" s="3"/>
    </row>
    <row r="116" spans="1:22" x14ac:dyDescent="0.2">
      <c r="A116" s="3"/>
      <c r="B116" s="3"/>
      <c r="J116" s="3"/>
      <c r="L116" s="3"/>
      <c r="M116" s="3"/>
      <c r="N116" s="3"/>
      <c r="O116" s="3"/>
      <c r="S116" s="3"/>
      <c r="T116" s="3"/>
      <c r="U116" s="3"/>
      <c r="V116" s="3"/>
    </row>
    <row r="117" spans="1:22" x14ac:dyDescent="0.2">
      <c r="A117" s="3"/>
      <c r="B117" s="3"/>
      <c r="J117" s="3"/>
      <c r="L117" s="3"/>
      <c r="M117" s="3"/>
      <c r="N117" s="3"/>
      <c r="O117" s="3"/>
      <c r="S117" s="3"/>
      <c r="T117" s="3"/>
      <c r="U117" s="3"/>
      <c r="V117" s="3"/>
    </row>
    <row r="118" spans="1:22" x14ac:dyDescent="0.2">
      <c r="A118" s="3"/>
      <c r="B118" s="3"/>
      <c r="J118" s="3"/>
      <c r="L118" s="3"/>
      <c r="M118" s="3"/>
      <c r="N118" s="3"/>
      <c r="O118" s="3"/>
      <c r="S118" s="3"/>
      <c r="T118" s="3"/>
      <c r="U118" s="3"/>
      <c r="V118" s="3"/>
    </row>
    <row r="119" spans="1:22" x14ac:dyDescent="0.2">
      <c r="A119" s="3"/>
      <c r="B119" s="3"/>
      <c r="J119" s="3"/>
      <c r="L119" s="3"/>
      <c r="M119" s="3"/>
      <c r="N119" s="3"/>
      <c r="O119" s="3"/>
      <c r="S119" s="3"/>
      <c r="T119" s="3"/>
      <c r="U119" s="3"/>
      <c r="V119" s="3"/>
    </row>
    <row r="120" spans="1:22" x14ac:dyDescent="0.2">
      <c r="A120" s="3"/>
      <c r="B120" s="3"/>
      <c r="J120" s="3"/>
      <c r="L120" s="3"/>
      <c r="M120" s="3"/>
      <c r="N120" s="3"/>
      <c r="O120" s="3"/>
      <c r="S120" s="3"/>
      <c r="T120" s="3"/>
      <c r="U120" s="3"/>
      <c r="V120" s="3"/>
    </row>
    <row r="121" spans="1:22" x14ac:dyDescent="0.2">
      <c r="A121" s="3"/>
      <c r="B121" s="3"/>
      <c r="J121" s="3"/>
      <c r="L121" s="3"/>
      <c r="M121" s="3"/>
      <c r="N121" s="3"/>
      <c r="O121" s="3"/>
      <c r="S121" s="3"/>
      <c r="T121" s="3"/>
      <c r="U121" s="3"/>
      <c r="V121" s="3"/>
    </row>
  </sheetData>
  <mergeCells count="3">
    <mergeCell ref="E3:H3"/>
    <mergeCell ref="L3:O3"/>
    <mergeCell ref="S3:V3"/>
  </mergeCells>
  <pageMargins left="0.25" right="0.25" top="0.75" bottom="0.75" header="0.3" footer="0.3"/>
  <pageSetup scale="4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0079FF"/>
    <pageSetUpPr fitToPage="1"/>
  </sheetPr>
  <dimension ref="A1:AA26"/>
  <sheetViews>
    <sheetView zoomScale="65" zoomScaleNormal="65" zoomScaleSheetLayoutView="85" workbookViewId="0">
      <pane xSplit="1" ySplit="4" topLeftCell="B5" activePane="bottomRight" state="frozen"/>
      <selection activeCell="B2" sqref="B2"/>
      <selection pane="topRight" activeCell="B2" sqref="B2"/>
      <selection pane="bottomLeft" activeCell="B2" sqref="B2"/>
      <selection pane="bottomRight" activeCell="B5" sqref="B5"/>
    </sheetView>
  </sheetViews>
  <sheetFormatPr defaultColWidth="9.140625" defaultRowHeight="11.25" outlineLevelCol="2" x14ac:dyDescent="0.2"/>
  <cols>
    <col min="1" max="1" width="85.28515625" style="13" customWidth="1"/>
    <col min="2" max="3" width="20.7109375" style="13" customWidth="1" outlineLevel="1"/>
    <col min="4" max="4" width="1.140625" style="3" hidden="1" customWidth="1" outlineLevel="2"/>
    <col min="5" max="8" width="20.7109375" style="13" hidden="1" customWidth="1" outlineLevel="2"/>
    <col min="9" max="9" width="1.140625" style="3" hidden="1" customWidth="1" outlineLevel="2"/>
    <col min="10" max="10" width="20.7109375" style="13" customWidth="1" outlineLevel="1" collapsed="1"/>
    <col min="11" max="11" width="1.140625" style="3" customWidth="1"/>
    <col min="12" max="15" width="20.7109375" style="13" customWidth="1" outlineLevel="1"/>
    <col min="16" max="16" width="1.140625" style="3" customWidth="1"/>
    <col min="17" max="17" width="20.7109375" style="13" customWidth="1"/>
    <col min="18" max="18" width="2.28515625" style="13" customWidth="1"/>
    <col min="19" max="22" width="20.7109375" style="13" customWidth="1"/>
    <col min="23" max="23" width="1.5703125" style="3" customWidth="1"/>
    <col min="24" max="24" width="20.7109375" style="13" customWidth="1"/>
    <col min="25" max="26" width="14.85546875" style="13" customWidth="1"/>
    <col min="27" max="27" width="3.85546875" style="13" customWidth="1"/>
    <col min="28" max="28" width="9.28515625" style="3" bestFit="1" customWidth="1"/>
    <col min="29" max="16384" width="9.140625" style="3"/>
  </cols>
  <sheetData>
    <row r="1" spans="1:27" ht="18" x14ac:dyDescent="0.25">
      <c r="A1" s="198" t="s">
        <v>240</v>
      </c>
      <c r="D1" s="24"/>
      <c r="I1" s="24"/>
      <c r="K1" s="24"/>
      <c r="P1" s="24"/>
    </row>
    <row r="2" spans="1:27" x14ac:dyDescent="0.2">
      <c r="A2" s="11"/>
      <c r="B2" s="11"/>
      <c r="C2" s="12"/>
      <c r="D2" s="1"/>
      <c r="I2" s="1"/>
      <c r="K2" s="1"/>
      <c r="P2" s="1"/>
    </row>
    <row r="3" spans="1:27" s="24" customFormat="1" ht="30" customHeight="1" x14ac:dyDescent="0.25">
      <c r="A3" s="83"/>
      <c r="B3" s="98" t="s">
        <v>31</v>
      </c>
      <c r="C3" s="226" t="s">
        <v>31</v>
      </c>
      <c r="D3" s="79"/>
      <c r="E3" s="354" t="s">
        <v>1</v>
      </c>
      <c r="F3" s="354"/>
      <c r="G3" s="354"/>
      <c r="H3" s="354"/>
      <c r="I3" s="79"/>
      <c r="J3" s="226" t="s">
        <v>31</v>
      </c>
      <c r="K3" s="79"/>
      <c r="L3" s="354" t="s">
        <v>1</v>
      </c>
      <c r="M3" s="354"/>
      <c r="N3" s="354"/>
      <c r="O3" s="354"/>
      <c r="P3" s="79"/>
      <c r="Q3" s="262" t="s">
        <v>31</v>
      </c>
      <c r="R3" s="99"/>
      <c r="S3" s="354" t="s">
        <v>1</v>
      </c>
      <c r="T3" s="354"/>
      <c r="U3" s="354"/>
      <c r="V3" s="354"/>
      <c r="X3" s="302" t="s">
        <v>31</v>
      </c>
      <c r="Y3" s="99"/>
      <c r="Z3" s="99"/>
      <c r="AA3" s="99"/>
    </row>
    <row r="4" spans="1:27" s="24" customFormat="1" ht="30" customHeight="1" x14ac:dyDescent="0.25">
      <c r="A4" s="83" t="s">
        <v>0</v>
      </c>
      <c r="B4" s="100" t="s">
        <v>155</v>
      </c>
      <c r="C4" s="101" t="s">
        <v>159</v>
      </c>
      <c r="D4" s="85"/>
      <c r="E4" s="84" t="s">
        <v>156</v>
      </c>
      <c r="F4" s="84" t="s">
        <v>157</v>
      </c>
      <c r="G4" s="84" t="s">
        <v>158</v>
      </c>
      <c r="H4" s="84" t="s">
        <v>100</v>
      </c>
      <c r="I4" s="85"/>
      <c r="J4" s="84" t="s">
        <v>100</v>
      </c>
      <c r="K4" s="85"/>
      <c r="L4" s="84" t="s">
        <v>148</v>
      </c>
      <c r="M4" s="84" t="s">
        <v>149</v>
      </c>
      <c r="N4" s="84" t="s">
        <v>109</v>
      </c>
      <c r="O4" s="84" t="s">
        <v>314</v>
      </c>
      <c r="P4" s="85"/>
      <c r="Q4" s="84" t="s">
        <v>314</v>
      </c>
      <c r="R4" s="99"/>
      <c r="S4" s="84" t="s">
        <v>327</v>
      </c>
      <c r="T4" s="84" t="s">
        <v>330</v>
      </c>
      <c r="U4" s="84" t="s">
        <v>338</v>
      </c>
      <c r="V4" s="84" t="s">
        <v>346</v>
      </c>
      <c r="X4" s="84" t="s">
        <v>346</v>
      </c>
      <c r="Y4" s="99"/>
      <c r="Z4" s="99"/>
      <c r="AA4" s="99"/>
    </row>
    <row r="5" spans="1:27" ht="16.5" x14ac:dyDescent="0.25">
      <c r="A5" s="3"/>
      <c r="D5" s="51"/>
      <c r="I5" s="51"/>
      <c r="K5" s="51"/>
      <c r="P5" s="51"/>
    </row>
    <row r="6" spans="1:27" ht="16.5" x14ac:dyDescent="0.25">
      <c r="A6" s="212" t="s">
        <v>86</v>
      </c>
      <c r="D6" s="51"/>
      <c r="I6" s="51"/>
      <c r="K6" s="51"/>
      <c r="P6" s="51"/>
    </row>
    <row r="7" spans="1:27" s="52" customFormat="1" ht="16.5" x14ac:dyDescent="0.25">
      <c r="A7" s="52" t="s">
        <v>243</v>
      </c>
      <c r="B7" s="231">
        <v>694.85699999999997</v>
      </c>
      <c r="C7" s="231">
        <f>+B8</f>
        <v>705.89499999999998</v>
      </c>
      <c r="D7" s="55"/>
      <c r="E7" s="231">
        <v>169.98500000000001</v>
      </c>
      <c r="F7" s="231">
        <v>180.06800000000001</v>
      </c>
      <c r="G7" s="231">
        <v>181.59</v>
      </c>
      <c r="H7" s="231">
        <v>208.42400000000001</v>
      </c>
      <c r="I7" s="55"/>
      <c r="J7" s="231">
        <f>+C8</f>
        <v>740.07499999999993</v>
      </c>
      <c r="K7" s="55"/>
      <c r="L7" s="231">
        <f>+E8</f>
        <v>186.52499999999998</v>
      </c>
      <c r="M7" s="231">
        <f>+F8</f>
        <v>200.79999999999995</v>
      </c>
      <c r="N7" s="231">
        <f>+G8</f>
        <v>197.5</v>
      </c>
      <c r="O7" s="231">
        <f>+H8</f>
        <v>211.52499999999998</v>
      </c>
      <c r="P7" s="55"/>
      <c r="Q7" s="231">
        <f>+J8</f>
        <v>796.26800000000003</v>
      </c>
      <c r="R7" s="102"/>
      <c r="S7" s="231">
        <f>+L8</f>
        <v>207.11899999999997</v>
      </c>
      <c r="T7" s="231">
        <f>+M8</f>
        <v>211.41399999999999</v>
      </c>
      <c r="U7" s="231">
        <f>+N8</f>
        <v>217.93599999999998</v>
      </c>
      <c r="V7" s="231">
        <f>+O8</f>
        <v>210.05799999999999</v>
      </c>
      <c r="X7" s="231">
        <f>+Q8</f>
        <v>846.52699999999993</v>
      </c>
      <c r="Y7" s="102"/>
      <c r="Z7" s="102"/>
      <c r="AA7" s="102"/>
    </row>
    <row r="8" spans="1:27" s="52" customFormat="1" ht="16.5" x14ac:dyDescent="0.25">
      <c r="A8" s="52" t="s">
        <v>244</v>
      </c>
      <c r="B8" s="231">
        <f>+'CES Revenue Metrics'!B11</f>
        <v>705.89499999999998</v>
      </c>
      <c r="C8" s="231">
        <f>+'CES Revenue Metrics'!C11</f>
        <v>740.07499999999993</v>
      </c>
      <c r="D8" s="55"/>
      <c r="E8" s="231">
        <f>+'CES Revenue Metrics'!E11</f>
        <v>186.52499999999998</v>
      </c>
      <c r="F8" s="231">
        <f>+'CES Revenue Metrics'!F11</f>
        <v>200.79999999999995</v>
      </c>
      <c r="G8" s="231">
        <f>+'CES Revenue Metrics'!G11</f>
        <v>197.5</v>
      </c>
      <c r="H8" s="231">
        <f>+'CES Revenue Metrics'!H11</f>
        <v>211.52499999999998</v>
      </c>
      <c r="I8" s="55"/>
      <c r="J8" s="231">
        <f>+'CES Revenue Metrics'!J11</f>
        <v>796.26800000000003</v>
      </c>
      <c r="K8" s="55"/>
      <c r="L8" s="231">
        <f>+'CES Revenue Metrics'!L11</f>
        <v>207.11899999999997</v>
      </c>
      <c r="M8" s="231">
        <f>+'CES Revenue Metrics'!M11</f>
        <v>211.41399999999999</v>
      </c>
      <c r="N8" s="231">
        <f>+'CES Revenue Metrics'!N11</f>
        <v>217.93599999999998</v>
      </c>
      <c r="O8" s="231">
        <v>210.05799999999999</v>
      </c>
      <c r="P8" s="60"/>
      <c r="Q8" s="231">
        <f>+'CES Revenue Metrics'!Q11</f>
        <v>846.52699999999993</v>
      </c>
      <c r="R8" s="102"/>
      <c r="S8" s="231">
        <f>+'CES Revenue Metrics'!S11</f>
        <v>185.86500000000001</v>
      </c>
      <c r="T8" s="231">
        <f>+'CES Revenue Metrics'!T11</f>
        <v>204.08</v>
      </c>
      <c r="U8" s="231">
        <f>+'CES Revenue Metrics'!U11</f>
        <v>215.22199999999998</v>
      </c>
      <c r="V8" s="231">
        <f>+'CES Revenue Metrics'!V11</f>
        <v>225.07999999999998</v>
      </c>
      <c r="X8" s="231">
        <f>+'CES Revenue Metrics'!X11</f>
        <v>830.24699999999996</v>
      </c>
      <c r="Y8" s="102"/>
      <c r="Z8" s="102"/>
      <c r="AA8" s="102"/>
    </row>
    <row r="9" spans="1:27" s="52" customFormat="1" ht="16.5" x14ac:dyDescent="0.25">
      <c r="A9" s="52" t="s">
        <v>284</v>
      </c>
      <c r="B9" s="231">
        <v>715</v>
      </c>
      <c r="C9" s="231">
        <v>739</v>
      </c>
      <c r="D9" s="55"/>
      <c r="E9" s="231">
        <v>183</v>
      </c>
      <c r="F9" s="231">
        <v>200</v>
      </c>
      <c r="G9" s="231">
        <v>199</v>
      </c>
      <c r="H9" s="231">
        <v>214</v>
      </c>
      <c r="I9" s="55"/>
      <c r="J9" s="231">
        <v>796</v>
      </c>
      <c r="K9" s="55"/>
      <c r="L9" s="231">
        <v>211</v>
      </c>
      <c r="M9" s="231">
        <v>214</v>
      </c>
      <c r="N9" s="231">
        <v>220</v>
      </c>
      <c r="O9" s="231">
        <v>210</v>
      </c>
      <c r="P9" s="60"/>
      <c r="Q9" s="231">
        <v>855</v>
      </c>
      <c r="R9" s="102"/>
      <c r="S9" s="231">
        <v>188</v>
      </c>
      <c r="T9" s="231">
        <v>205</v>
      </c>
      <c r="U9" s="231">
        <v>213</v>
      </c>
      <c r="V9" s="231">
        <v>223</v>
      </c>
      <c r="X9" s="231">
        <f>SUM(S9:V9)</f>
        <v>829</v>
      </c>
      <c r="Y9" s="102"/>
      <c r="Z9" s="102"/>
      <c r="AA9" s="102"/>
    </row>
    <row r="10" spans="1:27" s="52" customFormat="1" ht="16.5" x14ac:dyDescent="0.25">
      <c r="A10" s="52" t="s">
        <v>237</v>
      </c>
      <c r="B10" s="229">
        <f>+(B8-B7)/B7</f>
        <v>1.5885282871151922E-2</v>
      </c>
      <c r="C10" s="229">
        <f>+(C8-C7)/C7</f>
        <v>4.8420799127348896E-2</v>
      </c>
      <c r="D10" s="60"/>
      <c r="E10" s="229">
        <f>+(E8-E7)/E7</f>
        <v>9.7302703179692099E-2</v>
      </c>
      <c r="F10" s="229">
        <f>+(F8-F7)/F7</f>
        <v>0.11513428260434914</v>
      </c>
      <c r="G10" s="229">
        <f>+(G8-G7)/G7-0.001</f>
        <v>8.6614956770747265E-2</v>
      </c>
      <c r="H10" s="229">
        <f>+(H8-H7)/H7</f>
        <v>1.4878324952980321E-2</v>
      </c>
      <c r="I10" s="60"/>
      <c r="J10" s="229">
        <f>+(J8-J7)/J7</f>
        <v>7.592879100091221E-2</v>
      </c>
      <c r="K10" s="60"/>
      <c r="L10" s="229">
        <f>+(L8-L7)/L7+0.001</f>
        <v>0.11140879238707946</v>
      </c>
      <c r="M10" s="229">
        <f>+(M8-M7)/M7</f>
        <v>5.2858565737051971E-2</v>
      </c>
      <c r="N10" s="229">
        <f>+((N8-N7)/N7)+0.001</f>
        <v>0.10447341772151889</v>
      </c>
      <c r="O10" s="229">
        <f>+((O8-O7)/O7)</f>
        <v>-6.9353504313910165E-3</v>
      </c>
      <c r="P10" s="60"/>
      <c r="Q10" s="229">
        <f>+(Q8-Q7)/Q7</f>
        <v>6.3118196386141218E-2</v>
      </c>
      <c r="R10" s="102"/>
      <c r="S10" s="229">
        <f>+((S8-S7)/S7)</f>
        <v>-0.10261733592765494</v>
      </c>
      <c r="T10" s="229">
        <f>+((T8-T7)/T7)</f>
        <v>-3.4690228650893391E-2</v>
      </c>
      <c r="U10" s="229">
        <f>+((U8-U7)/U7)</f>
        <v>-1.2453197268922982E-2</v>
      </c>
      <c r="V10" s="229">
        <f>+((V8-V7)/V7)</f>
        <v>7.1513581963076819E-2</v>
      </c>
      <c r="X10" s="229">
        <f>+(X8-X7)/X7</f>
        <v>-1.9231518900164998E-2</v>
      </c>
      <c r="Y10" s="102"/>
      <c r="Z10" s="102"/>
      <c r="AA10" s="102"/>
    </row>
    <row r="11" spans="1:27" s="52" customFormat="1" ht="16.5" x14ac:dyDescent="0.25">
      <c r="A11" s="52" t="s">
        <v>238</v>
      </c>
      <c r="B11" s="227">
        <f>+B12-B10</f>
        <v>1.310341552290618E-2</v>
      </c>
      <c r="C11" s="227">
        <f>+C12-C10+0.001</f>
        <v>-5.2288938156514701E-4</v>
      </c>
      <c r="D11" s="67"/>
      <c r="E11" s="227">
        <f>+E12-E10+0.001</f>
        <v>-1.9737123863870207E-2</v>
      </c>
      <c r="F11" s="227">
        <f>+F12-F10</f>
        <v>-4.4427660661525425E-3</v>
      </c>
      <c r="G11" s="227">
        <f>+G12-G10</f>
        <v>9.2603667602841611E-3</v>
      </c>
      <c r="H11" s="227">
        <f>+H12-H10</f>
        <v>1.1874832073081903E-2</v>
      </c>
      <c r="I11" s="67"/>
      <c r="J11" s="227">
        <f>+J12-J10</f>
        <v>-3.6212546025744807E-4</v>
      </c>
      <c r="K11" s="67"/>
      <c r="L11" s="227">
        <f>+L12-L10</f>
        <v>2.0806862350891464E-2</v>
      </c>
      <c r="M11" s="227">
        <f>+M12-M10</f>
        <v>1.2878486055776961E-2</v>
      </c>
      <c r="N11" s="227">
        <f>+N12-N10+0.001</f>
        <v>1.0450632911392504E-2</v>
      </c>
      <c r="O11" s="227">
        <f>+O12-O10</f>
        <v>-2.7419926722606174E-4</v>
      </c>
      <c r="P11" s="67"/>
      <c r="Q11" s="227">
        <f>+Q12-Q10</f>
        <v>1.0640889750687041E-2</v>
      </c>
      <c r="R11" s="102"/>
      <c r="S11" s="227">
        <f>(+S12-S10)+0.001</f>
        <v>1.1308083758612156E-2</v>
      </c>
      <c r="T11" s="227">
        <f>(+T12-T10)+0.001</f>
        <v>5.3516512624518153E-3</v>
      </c>
      <c r="U11" s="227">
        <f>(+U12-U10)-0.001</f>
        <v>-1.1195653769914011E-2</v>
      </c>
      <c r="V11" s="227">
        <f>(+V12-V10)</f>
        <v>-9.9020270591930956E-3</v>
      </c>
      <c r="X11" s="227">
        <f>+X12-X10-0.001</f>
        <v>-2.4730776454855606E-3</v>
      </c>
      <c r="Y11" s="102"/>
      <c r="Z11" s="102"/>
      <c r="AA11" s="102"/>
    </row>
    <row r="12" spans="1:27" s="52" customFormat="1" ht="16.5" x14ac:dyDescent="0.25">
      <c r="A12" s="52" t="s">
        <v>239</v>
      </c>
      <c r="B12" s="228">
        <f>+(B9-B7)/B7</f>
        <v>2.8988698394058102E-2</v>
      </c>
      <c r="C12" s="228">
        <f>+(C9-C7)/C7</f>
        <v>4.6897909745783749E-2</v>
      </c>
      <c r="D12" s="67"/>
      <c r="E12" s="228">
        <f>+(E9-E7)/E7</f>
        <v>7.6565579315821891E-2</v>
      </c>
      <c r="F12" s="228">
        <f>+(F9-F7)/F7</f>
        <v>0.1106915165381966</v>
      </c>
      <c r="G12" s="228">
        <f>+(G9-G7)/G7</f>
        <v>9.5875323531031426E-2</v>
      </c>
      <c r="H12" s="228">
        <f>+(H9-H7)/H7</f>
        <v>2.6753157026062225E-2</v>
      </c>
      <c r="I12" s="67"/>
      <c r="J12" s="228">
        <f>+(J9-J7)/J7</f>
        <v>7.5566665540654762E-2</v>
      </c>
      <c r="K12" s="67"/>
      <c r="L12" s="228">
        <f>+(L9-L7)/L7+0.001</f>
        <v>0.13221565473797092</v>
      </c>
      <c r="M12" s="228">
        <f>+(M9-M7)/M7</f>
        <v>6.5737051792828932E-2</v>
      </c>
      <c r="N12" s="228">
        <f>+(N9-N7)/N7</f>
        <v>0.11392405063291139</v>
      </c>
      <c r="O12" s="228">
        <f>+(O9-O7)/O7</f>
        <v>-7.2095496986170782E-3</v>
      </c>
      <c r="P12" s="67"/>
      <c r="Q12" s="228">
        <f>+(Q9-Q7)/Q7</f>
        <v>7.3759086136828259E-2</v>
      </c>
      <c r="R12" s="102"/>
      <c r="S12" s="228">
        <f>+(S9-S7)/S7</f>
        <v>-9.2309252169042788E-2</v>
      </c>
      <c r="T12" s="228">
        <f>+(T9-T7)/T7</f>
        <v>-3.0338577388441576E-2</v>
      </c>
      <c r="U12" s="228">
        <f>+(U9-U7)/U7</f>
        <v>-2.2648851038836994E-2</v>
      </c>
      <c r="V12" s="228">
        <f>+(V9-V7)/V7</f>
        <v>6.1611554903883724E-2</v>
      </c>
      <c r="X12" s="228">
        <f>+(X9-X7)/X7</f>
        <v>-2.0704596545650558E-2</v>
      </c>
      <c r="Y12" s="102"/>
      <c r="Z12" s="102"/>
      <c r="AA12" s="102"/>
    </row>
    <row r="13" spans="1:27" ht="16.5" x14ac:dyDescent="0.25">
      <c r="A13" s="3"/>
      <c r="D13" s="51"/>
      <c r="I13" s="51"/>
      <c r="K13" s="51"/>
      <c r="P13" s="51"/>
    </row>
    <row r="14" spans="1:27" ht="16.5" x14ac:dyDescent="0.25">
      <c r="A14" s="212" t="s">
        <v>87</v>
      </c>
      <c r="D14" s="51"/>
      <c r="I14" s="51"/>
      <c r="K14" s="51"/>
      <c r="P14" s="51"/>
    </row>
    <row r="15" spans="1:27" s="52" customFormat="1" ht="16.5" x14ac:dyDescent="0.25">
      <c r="A15" s="52" t="s">
        <v>243</v>
      </c>
      <c r="B15" s="231">
        <v>698.298</v>
      </c>
      <c r="C15" s="231">
        <f>+B16</f>
        <v>716.16100000000006</v>
      </c>
      <c r="D15" s="55"/>
      <c r="E15" s="231">
        <v>174.7</v>
      </c>
      <c r="F15" s="231">
        <v>183.50200000000001</v>
      </c>
      <c r="G15" s="231">
        <v>184.506</v>
      </c>
      <c r="H15" s="231">
        <v>212.33</v>
      </c>
      <c r="I15" s="55"/>
      <c r="J15" s="231">
        <f>+C16</f>
        <v>754.97499999999991</v>
      </c>
      <c r="K15" s="55"/>
      <c r="L15" s="231">
        <f>+E16</f>
        <v>189.16000000000003</v>
      </c>
      <c r="M15" s="231">
        <f>+F16</f>
        <v>202.98000000000002</v>
      </c>
      <c r="N15" s="231">
        <f>+G16</f>
        <v>201.48</v>
      </c>
      <c r="O15" s="231">
        <f>+H16</f>
        <v>217.8</v>
      </c>
      <c r="P15" s="55"/>
      <c r="Q15" s="231">
        <f>+J16</f>
        <v>811.32799999999997</v>
      </c>
      <c r="R15" s="102"/>
      <c r="S15" s="231">
        <f>+L16</f>
        <v>215.86500000000001</v>
      </c>
      <c r="T15" s="231">
        <f>+M16</f>
        <v>218.42</v>
      </c>
      <c r="U15" s="231">
        <f>+N16</f>
        <v>224.149</v>
      </c>
      <c r="V15" s="231">
        <f>+O16</f>
        <v>214.76000000000002</v>
      </c>
      <c r="X15" s="231">
        <f>+Q16</f>
        <v>873.19399999999996</v>
      </c>
      <c r="Y15" s="102"/>
      <c r="Z15" s="102"/>
      <c r="AA15" s="102"/>
    </row>
    <row r="16" spans="1:27" s="52" customFormat="1" ht="16.5" x14ac:dyDescent="0.25">
      <c r="A16" s="52" t="s">
        <v>244</v>
      </c>
      <c r="B16" s="231">
        <f>+'CES Revenue Metrics'!B27</f>
        <v>716.16100000000006</v>
      </c>
      <c r="C16" s="231">
        <f>+'CES Revenue Metrics'!C27</f>
        <v>754.97499999999991</v>
      </c>
      <c r="D16" s="55"/>
      <c r="E16" s="231">
        <f>+'CES Revenue Metrics'!E27</f>
        <v>189.16000000000003</v>
      </c>
      <c r="F16" s="231">
        <f>+'CES Revenue Metrics'!F27</f>
        <v>202.98000000000002</v>
      </c>
      <c r="G16" s="231">
        <f>+'CES Revenue Metrics'!G27</f>
        <v>201.48</v>
      </c>
      <c r="H16" s="231">
        <f>+'CES Revenue Metrics'!H27</f>
        <v>217.8</v>
      </c>
      <c r="I16" s="55"/>
      <c r="J16" s="231">
        <f>+'CES Revenue Metrics'!J27</f>
        <v>811.32799999999997</v>
      </c>
      <c r="K16" s="55"/>
      <c r="L16" s="231">
        <f>+'CES Revenue Metrics'!L27</f>
        <v>215.86500000000001</v>
      </c>
      <c r="M16" s="231">
        <f>+'CES Revenue Metrics'!M27</f>
        <v>218.42</v>
      </c>
      <c r="N16" s="231">
        <f>+'CES Revenue Metrics'!N27</f>
        <v>224.149</v>
      </c>
      <c r="O16" s="231">
        <f>+'CES Revenue Metrics'!O27</f>
        <v>214.76000000000002</v>
      </c>
      <c r="P16" s="60"/>
      <c r="Q16" s="231">
        <f>+'CES Revenue Metrics'!Q27</f>
        <v>873.19399999999996</v>
      </c>
      <c r="R16" s="102"/>
      <c r="S16" s="231">
        <f>+'CES Revenue Metrics'!S27</f>
        <v>189.12700000000004</v>
      </c>
      <c r="T16" s="231">
        <f>+'CES Revenue Metrics'!T27</f>
        <v>207.14599999999999</v>
      </c>
      <c r="U16" s="231">
        <f>+'CES Revenue Metrics'!U27</f>
        <v>217.44899999999998</v>
      </c>
      <c r="V16" s="231">
        <f>+'CES Revenue Metrics'!V27</f>
        <v>226.86100000000002</v>
      </c>
      <c r="X16" s="231">
        <f>+'CES Revenue Metrics'!X27</f>
        <v>840.58299999999997</v>
      </c>
      <c r="Y16" s="102"/>
      <c r="Z16" s="102"/>
      <c r="AA16" s="102"/>
    </row>
    <row r="17" spans="1:27" s="52" customFormat="1" ht="16.5" x14ac:dyDescent="0.25">
      <c r="A17" s="52" t="s">
        <v>284</v>
      </c>
      <c r="B17" s="231">
        <v>726</v>
      </c>
      <c r="C17" s="231">
        <v>753</v>
      </c>
      <c r="D17" s="55"/>
      <c r="E17" s="231">
        <v>185</v>
      </c>
      <c r="F17" s="231">
        <v>202</v>
      </c>
      <c r="G17" s="231">
        <v>203</v>
      </c>
      <c r="H17" s="231">
        <v>220</v>
      </c>
      <c r="I17" s="55"/>
      <c r="J17" s="231">
        <v>811</v>
      </c>
      <c r="K17" s="55"/>
      <c r="L17" s="231">
        <v>219</v>
      </c>
      <c r="M17" s="231">
        <v>221</v>
      </c>
      <c r="N17" s="231">
        <v>226</v>
      </c>
      <c r="O17" s="231">
        <v>215</v>
      </c>
      <c r="P17" s="60"/>
      <c r="Q17" s="231">
        <v>882</v>
      </c>
      <c r="R17" s="102"/>
      <c r="S17" s="231">
        <v>191</v>
      </c>
      <c r="T17" s="231">
        <v>208</v>
      </c>
      <c r="U17" s="231">
        <v>215</v>
      </c>
      <c r="V17" s="231">
        <v>224</v>
      </c>
      <c r="X17" s="231">
        <v>839</v>
      </c>
      <c r="Y17" s="102"/>
      <c r="Z17" s="102"/>
      <c r="AA17" s="102"/>
    </row>
    <row r="18" spans="1:27" s="52" customFormat="1" ht="16.5" x14ac:dyDescent="0.25">
      <c r="A18" s="52" t="s">
        <v>237</v>
      </c>
      <c r="B18" s="229">
        <f>+(B16-B15)/B15</f>
        <v>2.5580769241785106E-2</v>
      </c>
      <c r="C18" s="229">
        <f>+(C16-C15)/C15</f>
        <v>5.4197310381324658E-2</v>
      </c>
      <c r="D18" s="60"/>
      <c r="E18" s="229">
        <f>+(E16-E15)/E15</f>
        <v>8.2770463651975032E-2</v>
      </c>
      <c r="F18" s="229">
        <f>+(F16-F15)/F15</f>
        <v>0.10614598206014107</v>
      </c>
      <c r="G18" s="229">
        <f>+(G16-G15)/G15</f>
        <v>9.1997008227374666E-2</v>
      </c>
      <c r="H18" s="229">
        <f>+(H16-H15)/H15</f>
        <v>2.5761785899307676E-2</v>
      </c>
      <c r="I18" s="60"/>
      <c r="J18" s="229">
        <f>+(J16-J15)/J15</f>
        <v>7.4642206695586036E-2</v>
      </c>
      <c r="K18" s="60"/>
      <c r="L18" s="229">
        <f>+(L16-L15)/L15</f>
        <v>0.14117678156058353</v>
      </c>
      <c r="M18" s="229">
        <f>+(M16-M15)/M15</f>
        <v>7.6066607547541465E-2</v>
      </c>
      <c r="N18" s="229">
        <f>+((N16-N15)/N15)+0.001</f>
        <v>0.11351240817947197</v>
      </c>
      <c r="O18" s="229">
        <f>+((O16-O15)/O15)</f>
        <v>-1.3957759412304829E-2</v>
      </c>
      <c r="P18" s="60"/>
      <c r="Q18" s="229">
        <f>+(Q16-Q15)/Q15</f>
        <v>7.6252760905577019E-2</v>
      </c>
      <c r="R18" s="102"/>
      <c r="S18" s="229">
        <f>+((S16-S15)/S15)</f>
        <v>-0.12386445231973674</v>
      </c>
      <c r="T18" s="229">
        <f>+((T16-T15)/T15)</f>
        <v>-5.1616152366999367E-2</v>
      </c>
      <c r="U18" s="229">
        <f>+((U16-U15)/U15)</f>
        <v>-2.9890831545088387E-2</v>
      </c>
      <c r="V18" s="229">
        <f>+((V16-V15)/V15)</f>
        <v>5.6346619482212694E-2</v>
      </c>
      <c r="X18" s="229">
        <f>+(X16-X15)/X15</f>
        <v>-3.734679807694509E-2</v>
      </c>
      <c r="Y18" s="102"/>
      <c r="Z18" s="102"/>
      <c r="AA18" s="102"/>
    </row>
    <row r="19" spans="1:27" s="52" customFormat="1" ht="16.5" x14ac:dyDescent="0.25">
      <c r="A19" s="52" t="s">
        <v>238</v>
      </c>
      <c r="B19" s="227">
        <f>+B20-B18</f>
        <v>1.4089973048755606E-2</v>
      </c>
      <c r="C19" s="227">
        <f>+C20-C18</f>
        <v>-2.7577597774800788E-3</v>
      </c>
      <c r="D19" s="67"/>
      <c r="E19" s="227">
        <f>+E20-E18</f>
        <v>-2.3812249570692764E-2</v>
      </c>
      <c r="F19" s="227">
        <f>+F20-F18</f>
        <v>-5.3405412475069358E-3</v>
      </c>
      <c r="G19" s="227">
        <f>+G20-G18</f>
        <v>8.2382144754100661E-3</v>
      </c>
      <c r="H19" s="227">
        <f>+H20-H18</f>
        <v>1.0361230160599009E-2</v>
      </c>
      <c r="I19" s="67"/>
      <c r="J19" s="227">
        <f>+J20-J18-0.001</f>
        <v>-1.4344514719030052E-3</v>
      </c>
      <c r="K19" s="67"/>
      <c r="L19" s="227">
        <f>+L20-L18+0.001</f>
        <v>1.7573271304715532E-2</v>
      </c>
      <c r="M19" s="227">
        <f>+M20-M18</f>
        <v>1.2710611882944201E-2</v>
      </c>
      <c r="N19" s="227">
        <f>+N20-N18+0.001</f>
        <v>9.1870160810005874E-3</v>
      </c>
      <c r="O19" s="227">
        <f>+O20-O18</f>
        <v>1.1019283746555586E-3</v>
      </c>
      <c r="P19" s="67"/>
      <c r="Q19" s="227">
        <f>+Q20-Q18</f>
        <v>1.085381004969635E-2</v>
      </c>
      <c r="R19" s="102"/>
      <c r="S19" s="227">
        <f>+S20-S18</f>
        <v>8.6767192458247627E-3</v>
      </c>
      <c r="T19" s="227">
        <f>+T20-T18</f>
        <v>3.909898360956017E-3</v>
      </c>
      <c r="U19" s="227">
        <f>+U20-U18</f>
        <v>-1.0925768127450868E-2</v>
      </c>
      <c r="V19" s="227">
        <f>+V20-V18</f>
        <v>-1.3321847643881626E-2</v>
      </c>
      <c r="X19" s="227">
        <f>+X20-X18</f>
        <v>-1.8128846510626143E-3</v>
      </c>
      <c r="Y19" s="102"/>
      <c r="Z19" s="102"/>
      <c r="AA19" s="102"/>
    </row>
    <row r="20" spans="1:27" s="52" customFormat="1" ht="16.5" x14ac:dyDescent="0.25">
      <c r="A20" s="52" t="s">
        <v>239</v>
      </c>
      <c r="B20" s="228">
        <f>+(B17-B15)/B15</f>
        <v>3.9670742290540711E-2</v>
      </c>
      <c r="C20" s="228">
        <f>+(C17-C15)/C15</f>
        <v>5.1439550603844579E-2</v>
      </c>
      <c r="D20" s="67"/>
      <c r="E20" s="228">
        <f>+(E17-E15)/E15</f>
        <v>5.8958214081282267E-2</v>
      </c>
      <c r="F20" s="228">
        <f>+(F17-F15)/F15</f>
        <v>0.10080544081263414</v>
      </c>
      <c r="G20" s="228">
        <f>+(G17-G15)/G15</f>
        <v>0.10023522270278473</v>
      </c>
      <c r="H20" s="228">
        <f>+(H17-H15)/H15</f>
        <v>3.6123016059906685E-2</v>
      </c>
      <c r="I20" s="67"/>
      <c r="J20" s="228">
        <f>+(J17-J15)/J15</f>
        <v>7.4207755223683031E-2</v>
      </c>
      <c r="K20" s="67"/>
      <c r="L20" s="228">
        <f>+(L17-L15)/L15</f>
        <v>0.15775005286529906</v>
      </c>
      <c r="M20" s="228">
        <f>+(M17-M15)/M15</f>
        <v>8.8777219430485665E-2</v>
      </c>
      <c r="N20" s="228">
        <f>+(N17-N15)/N15</f>
        <v>0.12169942426047256</v>
      </c>
      <c r="O20" s="228">
        <f>+(O17-O15)/O15</f>
        <v>-1.2855831037649271E-2</v>
      </c>
      <c r="P20" s="67"/>
      <c r="Q20" s="228">
        <f>+(Q17-Q15)/Q15</f>
        <v>8.7106570955273369E-2</v>
      </c>
      <c r="R20" s="102"/>
      <c r="S20" s="228">
        <f>+(S17-S15)/S15</f>
        <v>-0.11518773307391197</v>
      </c>
      <c r="T20" s="228">
        <f>+(T17-T15)/T15</f>
        <v>-4.770625400604335E-2</v>
      </c>
      <c r="U20" s="228">
        <f>+(U17-U15)/U15</f>
        <v>-4.0816599672539255E-2</v>
      </c>
      <c r="V20" s="228">
        <f>+(V17-V15)/V15</f>
        <v>4.3024771838331068E-2</v>
      </c>
      <c r="X20" s="228">
        <f>+(X17-X15)/X15</f>
        <v>-3.9159682728007704E-2</v>
      </c>
      <c r="Y20" s="102"/>
      <c r="Z20" s="102"/>
      <c r="AA20" s="102"/>
    </row>
    <row r="21" spans="1:27" ht="16.5" x14ac:dyDescent="0.25">
      <c r="D21" s="47"/>
      <c r="I21" s="47"/>
      <c r="K21" s="47"/>
      <c r="P21" s="47"/>
    </row>
    <row r="22" spans="1:27" ht="16.5" x14ac:dyDescent="0.25">
      <c r="D22" s="47"/>
      <c r="I22" s="47"/>
      <c r="K22" s="47"/>
      <c r="P22" s="47"/>
    </row>
    <row r="23" spans="1:27" ht="16.5" x14ac:dyDescent="0.25">
      <c r="D23" s="52"/>
      <c r="I23" s="52"/>
      <c r="K23" s="52"/>
      <c r="P23" s="52"/>
    </row>
    <row r="24" spans="1:27" ht="16.5" x14ac:dyDescent="0.25">
      <c r="D24" s="52"/>
      <c r="I24" s="52"/>
      <c r="K24" s="52"/>
      <c r="P24" s="52"/>
    </row>
    <row r="25" spans="1:27" ht="16.5" x14ac:dyDescent="0.25">
      <c r="D25" s="52"/>
      <c r="I25" s="52"/>
      <c r="K25" s="52"/>
      <c r="P25" s="52"/>
    </row>
    <row r="26" spans="1:27" ht="16.5" x14ac:dyDescent="0.25">
      <c r="D26" s="52"/>
      <c r="I26" s="52"/>
      <c r="K26" s="52"/>
      <c r="P26" s="52"/>
    </row>
  </sheetData>
  <mergeCells count="3">
    <mergeCell ref="E3:H3"/>
    <mergeCell ref="L3:O3"/>
    <mergeCell ref="S3:V3"/>
  </mergeCells>
  <pageMargins left="0.25" right="0.25" top="0.75" bottom="0.75" header="0.3" footer="0.3"/>
  <pageSetup scale="42"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0079FF"/>
    <pageSetUpPr fitToPage="1"/>
  </sheetPr>
  <dimension ref="A1:X117"/>
  <sheetViews>
    <sheetView zoomScale="65" zoomScaleNormal="65" zoomScaleSheetLayoutView="85" workbookViewId="0">
      <pane xSplit="1" ySplit="4" topLeftCell="B5" activePane="bottomRight" state="frozen"/>
      <selection activeCell="B31" sqref="B31"/>
      <selection pane="topRight" activeCell="B31" sqref="B31"/>
      <selection pane="bottomLeft" activeCell="B31" sqref="B31"/>
      <selection pane="bottomRight" activeCell="B5" sqref="B5"/>
    </sheetView>
  </sheetViews>
  <sheetFormatPr defaultColWidth="9.140625" defaultRowHeight="11.25" outlineLevelCol="2" x14ac:dyDescent="0.2"/>
  <cols>
    <col min="1" max="1" width="70" style="4" bestFit="1" customWidth="1"/>
    <col min="2" max="3" width="20.7109375" style="39" customWidth="1" outlineLevel="1"/>
    <col min="4" max="4" width="1.140625" style="3" customWidth="1"/>
    <col min="5" max="8" width="20.7109375" style="3" hidden="1" customWidth="1" outlineLevel="2"/>
    <col min="9" max="9" width="1" style="3" customWidth="1" collapsed="1"/>
    <col min="10" max="10" width="20.7109375" style="4" customWidth="1" outlineLevel="2" collapsed="1"/>
    <col min="11" max="11" width="1" style="8" customWidth="1"/>
    <col min="12" max="13" width="20.7109375" style="4" hidden="1" customWidth="1" outlineLevel="1"/>
    <col min="14" max="15" width="20.7109375" style="3" hidden="1" customWidth="1" outlineLevel="1"/>
    <col min="16" max="16" width="1" style="8" customWidth="1" collapsed="1"/>
    <col min="17" max="17" width="20.7109375" style="3" customWidth="1"/>
    <col min="18" max="18" width="1" style="8" customWidth="1"/>
    <col min="19" max="21" width="20.7109375" style="3" customWidth="1"/>
    <col min="22" max="22" width="18.28515625" style="3" customWidth="1"/>
    <col min="23" max="23" width="1.5703125" style="8" customWidth="1"/>
    <col min="24" max="24" width="20.7109375" style="3" customWidth="1"/>
    <col min="25" max="16384" width="9.140625" style="8"/>
  </cols>
  <sheetData>
    <row r="1" spans="1:24" s="24" customFormat="1" ht="18" x14ac:dyDescent="0.25">
      <c r="A1" s="198" t="s">
        <v>175</v>
      </c>
      <c r="B1" s="46"/>
      <c r="C1" s="45"/>
    </row>
    <row r="2" spans="1:24" x14ac:dyDescent="0.2">
      <c r="A2" s="1"/>
      <c r="B2" s="38"/>
      <c r="C2" s="38"/>
      <c r="D2" s="1"/>
      <c r="J2" s="3"/>
      <c r="L2" s="3"/>
      <c r="M2" s="3"/>
    </row>
    <row r="3" spans="1:24" s="82" customFormat="1" ht="30" customHeight="1" x14ac:dyDescent="0.25">
      <c r="A3" s="78"/>
      <c r="B3" s="196" t="s">
        <v>31</v>
      </c>
      <c r="C3" s="196" t="s">
        <v>31</v>
      </c>
      <c r="D3" s="79"/>
      <c r="E3" s="354" t="s">
        <v>1</v>
      </c>
      <c r="F3" s="354"/>
      <c r="G3" s="354"/>
      <c r="H3" s="354"/>
      <c r="I3" s="80"/>
      <c r="J3" s="81" t="s">
        <v>31</v>
      </c>
      <c r="L3" s="354" t="s">
        <v>1</v>
      </c>
      <c r="M3" s="354"/>
      <c r="N3" s="354"/>
      <c r="O3" s="354"/>
      <c r="Q3" s="262" t="s">
        <v>31</v>
      </c>
      <c r="S3" s="354" t="s">
        <v>1</v>
      </c>
      <c r="T3" s="354"/>
      <c r="U3" s="354"/>
      <c r="V3" s="354"/>
      <c r="W3" s="24"/>
      <c r="X3" s="302" t="s">
        <v>31</v>
      </c>
    </row>
    <row r="4" spans="1:24" s="82" customFormat="1" ht="30" customHeight="1" x14ac:dyDescent="0.25">
      <c r="A4" s="83" t="s">
        <v>0</v>
      </c>
      <c r="B4" s="84" t="s">
        <v>143</v>
      </c>
      <c r="C4" s="84" t="s">
        <v>144</v>
      </c>
      <c r="D4" s="85"/>
      <c r="E4" s="84" t="s">
        <v>145</v>
      </c>
      <c r="F4" s="84" t="s">
        <v>146</v>
      </c>
      <c r="G4" s="84" t="s">
        <v>147</v>
      </c>
      <c r="H4" s="84" t="s">
        <v>100</v>
      </c>
      <c r="I4" s="86"/>
      <c r="J4" s="84" t="s">
        <v>100</v>
      </c>
      <c r="K4" s="87"/>
      <c r="L4" s="84" t="s">
        <v>148</v>
      </c>
      <c r="M4" s="84" t="s">
        <v>149</v>
      </c>
      <c r="N4" s="84" t="s">
        <v>109</v>
      </c>
      <c r="O4" s="84" t="s">
        <v>314</v>
      </c>
      <c r="P4" s="87"/>
      <c r="Q4" s="84" t="s">
        <v>314</v>
      </c>
      <c r="S4" s="84" t="s">
        <v>327</v>
      </c>
      <c r="T4" s="84" t="s">
        <v>330</v>
      </c>
      <c r="U4" s="84" t="s">
        <v>338</v>
      </c>
      <c r="V4" s="84" t="s">
        <v>346</v>
      </c>
      <c r="W4" s="24"/>
      <c r="X4" s="84" t="s">
        <v>346</v>
      </c>
    </row>
    <row r="5" spans="1:24" s="47" customFormat="1" ht="16.5" x14ac:dyDescent="0.25">
      <c r="A5" s="49"/>
      <c r="B5" s="50"/>
      <c r="C5" s="50"/>
      <c r="D5" s="51"/>
      <c r="E5" s="52"/>
      <c r="F5" s="52"/>
      <c r="G5" s="52"/>
      <c r="H5" s="52"/>
      <c r="I5" s="52"/>
      <c r="J5" s="52"/>
      <c r="L5" s="52"/>
      <c r="M5" s="52"/>
      <c r="N5" s="52"/>
      <c r="O5" s="52"/>
      <c r="Q5" s="52"/>
      <c r="S5" s="52"/>
      <c r="T5" s="52"/>
      <c r="U5" s="52"/>
      <c r="V5" s="52"/>
      <c r="X5" s="52"/>
    </row>
    <row r="6" spans="1:24" s="57" customFormat="1" ht="16.5" x14ac:dyDescent="0.25">
      <c r="A6" s="53" t="s">
        <v>48</v>
      </c>
      <c r="B6" s="54">
        <f>+B18-B12</f>
        <v>56.494</v>
      </c>
      <c r="C6" s="54">
        <f>+C18-C12</f>
        <v>80.44</v>
      </c>
      <c r="D6" s="55"/>
      <c r="E6" s="56">
        <f>+E7+E8</f>
        <v>24.390219999999999</v>
      </c>
      <c r="F6" s="56">
        <f>+F7+F8</f>
        <v>27.010793</v>
      </c>
      <c r="G6" s="56">
        <f>+G7+G8</f>
        <v>27.986093</v>
      </c>
      <c r="H6" s="56">
        <f>+H7+H8</f>
        <v>32.045051999999998</v>
      </c>
      <c r="I6" s="52"/>
      <c r="J6" s="56">
        <f>+J7+J8</f>
        <v>111.447158</v>
      </c>
      <c r="K6" s="47"/>
      <c r="L6" s="56">
        <f>+L7+L8</f>
        <v>34.171999999999997</v>
      </c>
      <c r="M6" s="56">
        <f>+M7+M8</f>
        <v>34.744999999999997</v>
      </c>
      <c r="N6" s="56">
        <f>+N7+N8</f>
        <v>48.311</v>
      </c>
      <c r="O6" s="56">
        <f>+O7+O8</f>
        <v>46.714999999999996</v>
      </c>
      <c r="P6" s="47"/>
      <c r="Q6" s="56">
        <f>SUM(L6:O6)</f>
        <v>163.94300000000001</v>
      </c>
      <c r="S6" s="56">
        <f>+S7+S8</f>
        <v>40.888000000000005</v>
      </c>
      <c r="T6" s="56">
        <f>+T7+T8</f>
        <v>48.228999999999999</v>
      </c>
      <c r="U6" s="56">
        <f>+U7+U8</f>
        <v>58.983999999999995</v>
      </c>
      <c r="V6" s="56">
        <f>+V7+V8</f>
        <v>69.850999999999999</v>
      </c>
      <c r="W6" s="305"/>
      <c r="X6" s="56">
        <f>SUM(S6:V6)</f>
        <v>217.952</v>
      </c>
    </row>
    <row r="7" spans="1:24" s="57" customFormat="1" ht="16.5" x14ac:dyDescent="0.25">
      <c r="A7" s="58" t="s">
        <v>54</v>
      </c>
      <c r="B7" s="59">
        <f t="shared" ref="B7:B9" si="0">+B19-B13</f>
        <v>47.722999999999999</v>
      </c>
      <c r="C7" s="59">
        <f t="shared" ref="C7:C9" si="1">+C19-C13</f>
        <v>77.638000000000005</v>
      </c>
      <c r="D7" s="60"/>
      <c r="E7" s="61">
        <v>20.3</v>
      </c>
      <c r="F7" s="61">
        <v>21.2</v>
      </c>
      <c r="G7" s="61">
        <v>19.8</v>
      </c>
      <c r="H7" s="61">
        <v>23.4</v>
      </c>
      <c r="I7" s="62"/>
      <c r="J7" s="61">
        <v>84.715000000000003</v>
      </c>
      <c r="L7" s="61">
        <v>27.204000000000001</v>
      </c>
      <c r="M7" s="61">
        <v>27.207999999999998</v>
      </c>
      <c r="N7" s="61">
        <v>30.106999999999999</v>
      </c>
      <c r="O7" s="61">
        <v>31.405999999999999</v>
      </c>
      <c r="P7" s="47"/>
      <c r="Q7" s="61">
        <f>SUM(L7:O7)</f>
        <v>115.92500000000001</v>
      </c>
      <c r="S7" s="61">
        <v>33.393000000000001</v>
      </c>
      <c r="T7" s="61">
        <v>35.817999999999998</v>
      </c>
      <c r="U7" s="61">
        <v>37.405999999999999</v>
      </c>
      <c r="V7" s="61">
        <v>39.344999999999999</v>
      </c>
      <c r="W7" s="305"/>
      <c r="X7" s="61">
        <f>SUM(S7:V7)</f>
        <v>145.96199999999999</v>
      </c>
    </row>
    <row r="8" spans="1:24" s="57" customFormat="1" ht="16.5" x14ac:dyDescent="0.25">
      <c r="A8" s="58" t="s">
        <v>369</v>
      </c>
      <c r="B8" s="59">
        <f t="shared" si="0"/>
        <v>8.7710000000000008</v>
      </c>
      <c r="C8" s="59">
        <f t="shared" si="1"/>
        <v>2.802</v>
      </c>
      <c r="D8" s="60"/>
      <c r="E8" s="61">
        <f>3.8+0.29022</f>
        <v>4.0902199999999995</v>
      </c>
      <c r="F8" s="61">
        <f>5.5+0.310793</f>
        <v>5.8107930000000003</v>
      </c>
      <c r="G8" s="61">
        <f>7.7+0.486093</f>
        <v>8.1860929999999996</v>
      </c>
      <c r="H8" s="61">
        <f>7.9+0.720052+0.025</f>
        <v>8.6450520000000015</v>
      </c>
      <c r="I8" s="62"/>
      <c r="J8" s="61">
        <f>SUM(E8:H8)</f>
        <v>26.732157999999998</v>
      </c>
      <c r="L8" s="61">
        <v>6.968</v>
      </c>
      <c r="M8" s="61">
        <f>7.537</f>
        <v>7.5369999999999999</v>
      </c>
      <c r="N8" s="61">
        <f>17.1+1.104</f>
        <v>18.204000000000001</v>
      </c>
      <c r="O8" s="61">
        <f>13.575+1.734</f>
        <v>15.308999999999999</v>
      </c>
      <c r="P8" s="47"/>
      <c r="Q8" s="61">
        <f>SUM(L8:O8)</f>
        <v>48.018000000000001</v>
      </c>
      <c r="S8" s="61">
        <f>5.472+2.023</f>
        <v>7.495000000000001</v>
      </c>
      <c r="T8" s="61">
        <f>10.062+2.349</f>
        <v>12.411</v>
      </c>
      <c r="U8" s="61">
        <f>18.735+2.843</f>
        <v>21.577999999999999</v>
      </c>
      <c r="V8" s="61">
        <v>30.506</v>
      </c>
      <c r="W8" s="305"/>
      <c r="X8" s="61">
        <f>SUM(S8:V8)</f>
        <v>71.989999999999995</v>
      </c>
    </row>
    <row r="9" spans="1:24" s="57" customFormat="1" ht="16.5" x14ac:dyDescent="0.25">
      <c r="A9" s="58" t="s">
        <v>55</v>
      </c>
      <c r="B9" s="63">
        <f t="shared" si="0"/>
        <v>38.873000000000005</v>
      </c>
      <c r="C9" s="63">
        <f t="shared" si="1"/>
        <v>41.679000000000002</v>
      </c>
      <c r="D9" s="60"/>
      <c r="E9" s="64">
        <v>8.6999999999999993</v>
      </c>
      <c r="F9" s="64">
        <v>9.9</v>
      </c>
      <c r="G9" s="64">
        <v>10.1</v>
      </c>
      <c r="H9" s="64">
        <v>12.3</v>
      </c>
      <c r="I9" s="52"/>
      <c r="J9" s="64">
        <v>41.103000000000002</v>
      </c>
      <c r="K9" s="47"/>
      <c r="L9" s="64">
        <v>13.629</v>
      </c>
      <c r="M9" s="64">
        <v>14.164</v>
      </c>
      <c r="N9" s="64">
        <v>14.222</v>
      </c>
      <c r="O9" s="64">
        <v>14.519</v>
      </c>
      <c r="P9" s="47"/>
      <c r="Q9" s="64">
        <f>SUM(L9:O9)</f>
        <v>56.533999999999999</v>
      </c>
      <c r="S9" s="64">
        <v>14.132</v>
      </c>
      <c r="T9" s="64">
        <v>14.327999999999999</v>
      </c>
      <c r="U9" s="64">
        <v>14.884</v>
      </c>
      <c r="V9" s="64">
        <v>16.114999999999998</v>
      </c>
      <c r="W9" s="305"/>
      <c r="X9" s="64">
        <f>SUM(S9:V9)</f>
        <v>59.459000000000003</v>
      </c>
    </row>
    <row r="10" spans="1:24" s="57" customFormat="1" ht="16.5" x14ac:dyDescent="0.25">
      <c r="A10" s="65" t="s">
        <v>38</v>
      </c>
      <c r="B10" s="66">
        <f>+B6+B9</f>
        <v>95.367000000000004</v>
      </c>
      <c r="C10" s="66">
        <f>+C6+C9</f>
        <v>122.119</v>
      </c>
      <c r="D10" s="67"/>
      <c r="E10" s="68">
        <f>+E6+E9</f>
        <v>33.090220000000002</v>
      </c>
      <c r="F10" s="68">
        <f>+F6+F9</f>
        <v>36.910792999999998</v>
      </c>
      <c r="G10" s="68">
        <f>+G6+G9</f>
        <v>38.086092999999998</v>
      </c>
      <c r="H10" s="68">
        <f>+H6+H9</f>
        <v>44.345051999999995</v>
      </c>
      <c r="I10" s="62"/>
      <c r="J10" s="68">
        <f>+J6+J9</f>
        <v>152.55015800000001</v>
      </c>
      <c r="L10" s="68">
        <f>+L6+L9</f>
        <v>47.800999999999995</v>
      </c>
      <c r="M10" s="68">
        <f>+M6+M9</f>
        <v>48.908999999999999</v>
      </c>
      <c r="N10" s="68">
        <f>+N6+N9</f>
        <v>62.533000000000001</v>
      </c>
      <c r="O10" s="68">
        <f>+O6+O9</f>
        <v>61.233999999999995</v>
      </c>
      <c r="Q10" s="68">
        <f>SUM(L10:O10)</f>
        <v>220.47699999999998</v>
      </c>
      <c r="S10" s="68">
        <f>+S6+S9</f>
        <v>55.02</v>
      </c>
      <c r="T10" s="68">
        <f>+T6+T9</f>
        <v>62.557000000000002</v>
      </c>
      <c r="U10" s="68">
        <f>+U6+U9</f>
        <v>73.867999999999995</v>
      </c>
      <c r="V10" s="68">
        <f>+V6+V9</f>
        <v>85.965999999999994</v>
      </c>
      <c r="W10" s="305"/>
      <c r="X10" s="68">
        <f>SUM(S10:V10)</f>
        <v>277.411</v>
      </c>
    </row>
    <row r="11" spans="1:24" s="57" customFormat="1" ht="16.5" x14ac:dyDescent="0.25">
      <c r="A11" s="65"/>
      <c r="B11" s="66"/>
      <c r="C11" s="66"/>
      <c r="D11" s="67"/>
      <c r="E11" s="68"/>
      <c r="F11" s="68"/>
      <c r="G11" s="68"/>
      <c r="H11" s="68"/>
      <c r="I11" s="62"/>
      <c r="J11" s="68"/>
      <c r="L11" s="68"/>
      <c r="M11" s="68"/>
      <c r="N11" s="68"/>
      <c r="O11" s="68"/>
      <c r="Q11" s="68"/>
      <c r="S11" s="68"/>
      <c r="T11" s="68"/>
      <c r="U11" s="68"/>
      <c r="V11" s="68"/>
      <c r="W11" s="305"/>
      <c r="X11" s="68"/>
    </row>
    <row r="12" spans="1:24" s="57" customFormat="1" ht="16.5" x14ac:dyDescent="0.25">
      <c r="A12" s="58" t="s">
        <v>50</v>
      </c>
      <c r="B12" s="59">
        <f>+B13</f>
        <v>4.3479999999999999</v>
      </c>
      <c r="C12" s="59">
        <f>+C13+C14</f>
        <v>8.5</v>
      </c>
      <c r="D12" s="60"/>
      <c r="E12" s="61">
        <f>+E18-E6</f>
        <v>2.0599999999999987</v>
      </c>
      <c r="F12" s="61">
        <f t="shared" ref="E12:H16" si="2">+F18-F6</f>
        <v>1.379999999999999</v>
      </c>
      <c r="G12" s="61">
        <f t="shared" si="2"/>
        <v>3.4800000000000004</v>
      </c>
      <c r="H12" s="61">
        <f t="shared" si="2"/>
        <v>5.5750000000000028</v>
      </c>
      <c r="I12" s="62"/>
      <c r="J12" s="61">
        <v>12.484999999999999</v>
      </c>
      <c r="L12" s="61">
        <f t="shared" ref="L12:O15" si="3">+L18-L6</f>
        <v>8.054000000000002</v>
      </c>
      <c r="M12" s="61">
        <f t="shared" si="3"/>
        <v>6.4420000000000002</v>
      </c>
      <c r="N12" s="61">
        <f t="shared" si="3"/>
        <v>5.7010000000000005</v>
      </c>
      <c r="O12" s="61">
        <f t="shared" si="3"/>
        <v>4.267000000000003</v>
      </c>
      <c r="Q12" s="61">
        <f>SUM(L12:O12)</f>
        <v>24.464000000000006</v>
      </c>
      <c r="S12" s="61">
        <f t="shared" ref="S12:T12" si="4">+S18-S6</f>
        <v>2.9259999999999948</v>
      </c>
      <c r="T12" s="61">
        <f t="shared" si="4"/>
        <v>2.75</v>
      </c>
      <c r="U12" s="61">
        <f t="shared" ref="U12:V12" si="5">+U18-U6</f>
        <v>1.9429999999999978</v>
      </c>
      <c r="V12" s="61">
        <f t="shared" si="5"/>
        <v>1.5459999999999923</v>
      </c>
      <c r="W12" s="305"/>
      <c r="X12" s="61">
        <f>SUM(S12:V12)</f>
        <v>9.1649999999999849</v>
      </c>
    </row>
    <row r="13" spans="1:24" s="57" customFormat="1" ht="16.5" x14ac:dyDescent="0.25">
      <c r="A13" s="58" t="s">
        <v>56</v>
      </c>
      <c r="B13" s="59">
        <v>4.3479999999999999</v>
      </c>
      <c r="C13" s="59">
        <v>8.1</v>
      </c>
      <c r="D13" s="60"/>
      <c r="E13" s="61">
        <f t="shared" si="2"/>
        <v>1.0999999999999979</v>
      </c>
      <c r="F13" s="61">
        <f t="shared" si="2"/>
        <v>0.69999999999999929</v>
      </c>
      <c r="G13" s="61">
        <f t="shared" si="2"/>
        <v>2.8000000000000007</v>
      </c>
      <c r="H13" s="61">
        <f t="shared" si="2"/>
        <v>5.1000000000000014</v>
      </c>
      <c r="I13" s="62"/>
      <c r="J13" s="61">
        <v>9.6809999999999992</v>
      </c>
      <c r="L13" s="61">
        <f>+L19-L7</f>
        <v>7.2299999999999969</v>
      </c>
      <c r="M13" s="61">
        <f>+M19-M7</f>
        <v>6.3860000000000028</v>
      </c>
      <c r="N13" s="61">
        <f t="shared" si="3"/>
        <v>5.6589999999999989</v>
      </c>
      <c r="O13" s="61">
        <f t="shared" si="3"/>
        <v>4.2250000000000014</v>
      </c>
      <c r="Q13" s="61">
        <f>SUM(L13:O13)</f>
        <v>23.5</v>
      </c>
      <c r="S13" s="61">
        <f t="shared" ref="S13:T13" si="6">+S19-S7</f>
        <v>2.8819999999999979</v>
      </c>
      <c r="T13" s="61">
        <f t="shared" si="6"/>
        <v>2.7060000000000031</v>
      </c>
      <c r="U13" s="61">
        <f t="shared" ref="U13:V13" si="7">+U19-U7</f>
        <v>1.8969999999999985</v>
      </c>
      <c r="V13" s="61">
        <f t="shared" si="7"/>
        <v>1.5030000000000001</v>
      </c>
      <c r="W13" s="305"/>
      <c r="X13" s="61">
        <f>SUM(S13:V13)</f>
        <v>8.9879999999999995</v>
      </c>
    </row>
    <row r="14" spans="1:24" s="57" customFormat="1" ht="16.5" x14ac:dyDescent="0.25">
      <c r="A14" s="58" t="s">
        <v>57</v>
      </c>
      <c r="B14" s="59">
        <v>0</v>
      </c>
      <c r="C14" s="59">
        <v>0.4</v>
      </c>
      <c r="D14" s="60"/>
      <c r="E14" s="61">
        <f>+E20-E8</f>
        <v>0.96</v>
      </c>
      <c r="F14" s="61">
        <f t="shared" si="2"/>
        <v>0.6800000000000006</v>
      </c>
      <c r="G14" s="61">
        <f t="shared" si="2"/>
        <v>0.68000000000000149</v>
      </c>
      <c r="H14" s="61">
        <f t="shared" si="2"/>
        <v>0.47499999999999964</v>
      </c>
      <c r="I14" s="62"/>
      <c r="J14" s="61">
        <v>2.9</v>
      </c>
      <c r="L14" s="61">
        <f>+L20-L8</f>
        <v>0.82399999999999984</v>
      </c>
      <c r="M14" s="61">
        <f>+M20-M8</f>
        <v>5.600000000000005E-2</v>
      </c>
      <c r="N14" s="61">
        <f t="shared" si="3"/>
        <v>4.1999999999998039E-2</v>
      </c>
      <c r="O14" s="61">
        <f t="shared" si="3"/>
        <v>4.2000000000001592E-2</v>
      </c>
      <c r="Q14" s="61">
        <f>SUM(L14:O14)</f>
        <v>0.96399999999999952</v>
      </c>
      <c r="S14" s="61">
        <f t="shared" ref="S14:T14" si="8">+S20-S8</f>
        <v>4.3999999999998707E-2</v>
      </c>
      <c r="T14" s="61">
        <f t="shared" si="8"/>
        <v>4.4000000000000483E-2</v>
      </c>
      <c r="U14" s="61">
        <f t="shared" ref="U14:V14" si="9">+U20-U8</f>
        <v>4.5999999999999375E-2</v>
      </c>
      <c r="V14" s="61">
        <f t="shared" si="9"/>
        <v>4.2999999999999261E-2</v>
      </c>
      <c r="W14" s="305"/>
      <c r="X14" s="61">
        <f>SUM(S14:V14)</f>
        <v>0.17699999999999783</v>
      </c>
    </row>
    <row r="15" spans="1:24" s="57" customFormat="1" ht="16.5" x14ac:dyDescent="0.25">
      <c r="A15" s="58" t="s">
        <v>52</v>
      </c>
      <c r="B15" s="69">
        <v>4.4859999999999998</v>
      </c>
      <c r="C15" s="69">
        <v>4.4000000000000004</v>
      </c>
      <c r="D15" s="60"/>
      <c r="E15" s="70">
        <f t="shared" si="2"/>
        <v>0.40000000000000036</v>
      </c>
      <c r="F15" s="70">
        <f t="shared" si="2"/>
        <v>0.69999999999999929</v>
      </c>
      <c r="G15" s="70">
        <f t="shared" si="2"/>
        <v>0.5</v>
      </c>
      <c r="H15" s="70">
        <f t="shared" si="2"/>
        <v>0.59999999999999964</v>
      </c>
      <c r="I15" s="62"/>
      <c r="J15" s="70">
        <v>2.2000000000000002</v>
      </c>
      <c r="L15" s="64">
        <f t="shared" si="3"/>
        <v>0.58999999999999986</v>
      </c>
      <c r="M15" s="64">
        <f t="shared" si="3"/>
        <v>0.47600000000000087</v>
      </c>
      <c r="N15" s="64">
        <f t="shared" si="3"/>
        <v>0.44599999999999973</v>
      </c>
      <c r="O15" s="64">
        <f t="shared" si="3"/>
        <v>0.36999999999999922</v>
      </c>
      <c r="Q15" s="64">
        <f>SUM(L15:O15)</f>
        <v>1.8819999999999997</v>
      </c>
      <c r="S15" s="64">
        <f t="shared" ref="S15:T15" si="10">+S21-S9</f>
        <v>0.28100000000000058</v>
      </c>
      <c r="T15" s="64">
        <f t="shared" si="10"/>
        <v>0.26800000000000068</v>
      </c>
      <c r="U15" s="64">
        <f t="shared" ref="U15:V15" si="11">+U21-U9</f>
        <v>0.22299999999999898</v>
      </c>
      <c r="V15" s="64">
        <f t="shared" si="11"/>
        <v>0.22600000000000264</v>
      </c>
      <c r="W15" s="305"/>
      <c r="X15" s="64">
        <f>SUM(S15:V15)</f>
        <v>0.99800000000000288</v>
      </c>
    </row>
    <row r="16" spans="1:24" s="57" customFormat="1" ht="16.5" x14ac:dyDescent="0.25">
      <c r="A16" s="65" t="s">
        <v>49</v>
      </c>
      <c r="B16" s="71">
        <f>+B12+B15</f>
        <v>8.8339999999999996</v>
      </c>
      <c r="C16" s="71">
        <f>SUM(C13:C15)</f>
        <v>12.9</v>
      </c>
      <c r="D16" s="67"/>
      <c r="E16" s="72">
        <f t="shared" si="2"/>
        <v>2.4599999999999937</v>
      </c>
      <c r="F16" s="72">
        <f t="shared" si="2"/>
        <v>2.0799999999999983</v>
      </c>
      <c r="G16" s="72">
        <f t="shared" si="2"/>
        <v>3.980000000000004</v>
      </c>
      <c r="H16" s="72">
        <f t="shared" si="2"/>
        <v>6.1750000000000043</v>
      </c>
      <c r="I16" s="315"/>
      <c r="J16" s="72">
        <v>14.7</v>
      </c>
      <c r="L16" s="72">
        <v>8.6</v>
      </c>
      <c r="M16" s="72">
        <v>6.9</v>
      </c>
      <c r="N16" s="72">
        <f>+N12+N15</f>
        <v>6.1470000000000002</v>
      </c>
      <c r="O16" s="72">
        <f>+O12+O15</f>
        <v>4.6370000000000022</v>
      </c>
      <c r="Q16" s="72">
        <f>SUM(L16:O16)</f>
        <v>26.283999999999999</v>
      </c>
      <c r="S16" s="72">
        <f>+S12+S15</f>
        <v>3.2069999999999954</v>
      </c>
      <c r="T16" s="72">
        <f>+T12+T15</f>
        <v>3.0180000000000007</v>
      </c>
      <c r="U16" s="72">
        <f>+U12+U15</f>
        <v>2.1659999999999968</v>
      </c>
      <c r="V16" s="72">
        <f>+V12+V15</f>
        <v>1.7719999999999949</v>
      </c>
      <c r="W16" s="305"/>
      <c r="X16" s="72">
        <f>SUM(S16:V16)</f>
        <v>10.162999999999988</v>
      </c>
    </row>
    <row r="17" spans="1:24" s="57" customFormat="1" ht="16.5" x14ac:dyDescent="0.25">
      <c r="A17" s="65"/>
      <c r="B17" s="71"/>
      <c r="C17" s="71"/>
      <c r="D17" s="67"/>
      <c r="E17" s="72"/>
      <c r="F17" s="72"/>
      <c r="G17" s="72"/>
      <c r="H17" s="72"/>
      <c r="I17" s="62"/>
      <c r="J17" s="314"/>
      <c r="L17" s="72"/>
      <c r="M17" s="72"/>
      <c r="N17" s="72"/>
      <c r="O17" s="72"/>
      <c r="Q17" s="72"/>
      <c r="S17" s="72"/>
      <c r="T17" s="72"/>
      <c r="U17" s="72"/>
      <c r="V17" s="72"/>
      <c r="W17" s="305"/>
      <c r="X17" s="72"/>
    </row>
    <row r="18" spans="1:24" s="57" customFormat="1" ht="16.5" x14ac:dyDescent="0.25">
      <c r="A18" s="58" t="s">
        <v>51</v>
      </c>
      <c r="B18" s="73">
        <f>+B19+B20</f>
        <v>60.841999999999999</v>
      </c>
      <c r="C18" s="73">
        <f>+C19+C20</f>
        <v>88.94</v>
      </c>
      <c r="D18" s="60"/>
      <c r="E18" s="74">
        <f>+E19+E20</f>
        <v>26.450219999999998</v>
      </c>
      <c r="F18" s="74">
        <f>+F19+F20</f>
        <v>28.390792999999999</v>
      </c>
      <c r="G18" s="74">
        <f>+G19+G20</f>
        <v>31.466093000000001</v>
      </c>
      <c r="H18" s="74">
        <f>+H19+H20</f>
        <v>37.620052000000001</v>
      </c>
      <c r="I18" s="75"/>
      <c r="J18" s="316">
        <f>SUM(E18:H18)</f>
        <v>123.92715800000001</v>
      </c>
      <c r="K18" s="75"/>
      <c r="L18" s="74">
        <f>+L19+L20</f>
        <v>42.225999999999999</v>
      </c>
      <c r="M18" s="74">
        <f>+M19+M20</f>
        <v>41.186999999999998</v>
      </c>
      <c r="N18" s="74">
        <f>+N19+N20</f>
        <v>54.012</v>
      </c>
      <c r="O18" s="74">
        <f>+O19+O20</f>
        <v>50.981999999999999</v>
      </c>
      <c r="P18" s="75"/>
      <c r="Q18" s="74">
        <f>SUM(L18:O18)</f>
        <v>188.40700000000001</v>
      </c>
      <c r="S18" s="74">
        <f>+S19+S20</f>
        <v>43.814</v>
      </c>
      <c r="T18" s="74">
        <f>+T19+T20</f>
        <v>50.978999999999999</v>
      </c>
      <c r="U18" s="74">
        <f>+U19+U20</f>
        <v>60.926999999999992</v>
      </c>
      <c r="V18" s="74">
        <f>+V19+V20</f>
        <v>71.396999999999991</v>
      </c>
      <c r="W18" s="305"/>
      <c r="X18" s="74">
        <f>SUM(S18:V18)</f>
        <v>227.11699999999999</v>
      </c>
    </row>
    <row r="19" spans="1:24" s="57" customFormat="1" ht="16.5" x14ac:dyDescent="0.25">
      <c r="A19" s="58" t="s">
        <v>58</v>
      </c>
      <c r="B19" s="73">
        <v>52.070999999999998</v>
      </c>
      <c r="C19" s="73">
        <v>85.738</v>
      </c>
      <c r="D19" s="60"/>
      <c r="E19" s="74">
        <v>21.4</v>
      </c>
      <c r="F19" s="74">
        <v>21.9</v>
      </c>
      <c r="G19" s="74">
        <v>22.6</v>
      </c>
      <c r="H19" s="74">
        <v>28.5</v>
      </c>
      <c r="I19" s="75"/>
      <c r="J19" s="316">
        <v>94.396000000000015</v>
      </c>
      <c r="K19" s="75"/>
      <c r="L19" s="74">
        <v>34.433999999999997</v>
      </c>
      <c r="M19" s="74">
        <v>33.594000000000001</v>
      </c>
      <c r="N19" s="74">
        <v>35.765999999999998</v>
      </c>
      <c r="O19" s="74">
        <v>35.631</v>
      </c>
      <c r="P19" s="75"/>
      <c r="Q19" s="74">
        <f>SUM(L19:O19)</f>
        <v>139.42499999999998</v>
      </c>
      <c r="S19" s="74">
        <v>36.274999999999999</v>
      </c>
      <c r="T19" s="74">
        <v>38.524000000000001</v>
      </c>
      <c r="U19" s="74">
        <v>39.302999999999997</v>
      </c>
      <c r="V19" s="74">
        <v>40.847999999999999</v>
      </c>
      <c r="W19" s="305"/>
      <c r="X19" s="74">
        <f>SUM(S19:V19)</f>
        <v>154.94999999999999</v>
      </c>
    </row>
    <row r="20" spans="1:24" s="57" customFormat="1" ht="16.5" x14ac:dyDescent="0.25">
      <c r="A20" s="58" t="s">
        <v>368</v>
      </c>
      <c r="B20" s="73">
        <v>8.7710000000000008</v>
      </c>
      <c r="C20" s="73">
        <v>3.202</v>
      </c>
      <c r="D20" s="60"/>
      <c r="E20" s="74">
        <f>4.8+0.29022-0.04</f>
        <v>5.0502199999999995</v>
      </c>
      <c r="F20" s="74">
        <f>6.2+0.310793-0.02</f>
        <v>6.4907930000000009</v>
      </c>
      <c r="G20" s="74">
        <f>8.4+0.486093-0.02</f>
        <v>8.8660930000000011</v>
      </c>
      <c r="H20" s="74">
        <f>8.4+0.720052</f>
        <v>9.1200520000000012</v>
      </c>
      <c r="I20" s="75"/>
      <c r="J20" s="316">
        <f>SUM(E20:H20)</f>
        <v>29.527158</v>
      </c>
      <c r="K20" s="75"/>
      <c r="L20" s="61">
        <f>7.792</f>
        <v>7.7919999999999998</v>
      </c>
      <c r="M20" s="61">
        <f>7.593</f>
        <v>7.593</v>
      </c>
      <c r="N20" s="61">
        <f>18.246</f>
        <v>18.245999999999999</v>
      </c>
      <c r="O20" s="61">
        <f>13.617+1.734</f>
        <v>15.351000000000001</v>
      </c>
      <c r="P20" s="75"/>
      <c r="Q20" s="61">
        <f>SUM(L20:O20)</f>
        <v>48.981999999999999</v>
      </c>
      <c r="S20" s="74">
        <f>5.516+2.023</f>
        <v>7.5389999999999997</v>
      </c>
      <c r="T20" s="74">
        <f>10.106+2.349</f>
        <v>12.455</v>
      </c>
      <c r="U20" s="74">
        <f>18.781+2.843</f>
        <v>21.623999999999999</v>
      </c>
      <c r="V20" s="74">
        <v>30.548999999999999</v>
      </c>
      <c r="W20" s="305"/>
      <c r="X20" s="74">
        <f>SUM(S20:V20)</f>
        <v>72.167000000000002</v>
      </c>
    </row>
    <row r="21" spans="1:24" s="57" customFormat="1" ht="16.5" x14ac:dyDescent="0.25">
      <c r="A21" s="58" t="s">
        <v>59</v>
      </c>
      <c r="B21" s="63">
        <v>43.359000000000002</v>
      </c>
      <c r="C21" s="63">
        <v>46.079000000000001</v>
      </c>
      <c r="D21" s="60"/>
      <c r="E21" s="64">
        <v>9.1</v>
      </c>
      <c r="F21" s="64">
        <v>10.6</v>
      </c>
      <c r="G21" s="64">
        <v>10.6</v>
      </c>
      <c r="H21" s="64">
        <v>12.9</v>
      </c>
      <c r="I21" s="52"/>
      <c r="J21" s="64">
        <v>43.308</v>
      </c>
      <c r="K21" s="47"/>
      <c r="L21" s="64">
        <v>14.218999999999999</v>
      </c>
      <c r="M21" s="64">
        <v>14.64</v>
      </c>
      <c r="N21" s="64">
        <v>14.667999999999999</v>
      </c>
      <c r="O21" s="64">
        <v>14.888999999999999</v>
      </c>
      <c r="P21" s="47"/>
      <c r="Q21" s="64">
        <f>SUM(L21:O21)</f>
        <v>58.415999999999997</v>
      </c>
      <c r="S21" s="64">
        <v>14.413</v>
      </c>
      <c r="T21" s="64">
        <v>14.596</v>
      </c>
      <c r="U21" s="64">
        <v>15.106999999999999</v>
      </c>
      <c r="V21" s="64">
        <v>16.341000000000001</v>
      </c>
      <c r="W21" s="305"/>
      <c r="X21" s="64">
        <f>SUM(S21:V21)</f>
        <v>60.457000000000001</v>
      </c>
    </row>
    <row r="22" spans="1:24" s="57" customFormat="1" ht="16.5" x14ac:dyDescent="0.25">
      <c r="A22" s="65" t="s">
        <v>39</v>
      </c>
      <c r="B22" s="66">
        <f>+B18+B21</f>
        <v>104.20099999999999</v>
      </c>
      <c r="C22" s="66">
        <f>+C18+C21</f>
        <v>135.01900000000001</v>
      </c>
      <c r="D22" s="67"/>
      <c r="E22" s="68">
        <f>+E18+E21</f>
        <v>35.550219999999996</v>
      </c>
      <c r="F22" s="68">
        <f>+F18+F21</f>
        <v>38.990792999999996</v>
      </c>
      <c r="G22" s="68">
        <f>+G18+G21</f>
        <v>42.066093000000002</v>
      </c>
      <c r="H22" s="68">
        <f>+H18+H21</f>
        <v>50.520052</v>
      </c>
      <c r="I22" s="62"/>
      <c r="J22" s="68">
        <f>+J18+J21</f>
        <v>167.23515800000001</v>
      </c>
      <c r="L22" s="68">
        <f>+L18+L21</f>
        <v>56.445</v>
      </c>
      <c r="M22" s="68">
        <f>+M18+M21</f>
        <v>55.826999999999998</v>
      </c>
      <c r="N22" s="68">
        <f>+N18+N21</f>
        <v>68.680000000000007</v>
      </c>
      <c r="O22" s="68">
        <f>+O18+O21</f>
        <v>65.870999999999995</v>
      </c>
      <c r="Q22" s="68">
        <f>SUM(L22:O22)</f>
        <v>246.82299999999998</v>
      </c>
      <c r="S22" s="68">
        <f>+S18+S21</f>
        <v>58.227000000000004</v>
      </c>
      <c r="T22" s="68">
        <f>+T18+T21</f>
        <v>65.575000000000003</v>
      </c>
      <c r="U22" s="68">
        <f>+U18+U21</f>
        <v>76.033999999999992</v>
      </c>
      <c r="V22" s="68">
        <f>+V18+V21</f>
        <v>87.738</v>
      </c>
      <c r="W22" s="305"/>
      <c r="X22" s="68">
        <f>SUM(S22:V22)</f>
        <v>287.57400000000001</v>
      </c>
    </row>
    <row r="23" spans="1:24" s="47" customFormat="1" ht="16.5" x14ac:dyDescent="0.25">
      <c r="B23" s="48"/>
      <c r="C23" s="48"/>
      <c r="E23" s="52"/>
      <c r="F23" s="52"/>
      <c r="G23" s="52"/>
      <c r="H23" s="52"/>
      <c r="I23" s="52"/>
      <c r="J23" s="52"/>
      <c r="L23" s="52"/>
      <c r="M23" s="52"/>
      <c r="N23" s="52"/>
      <c r="O23" s="52"/>
      <c r="Q23" s="52"/>
      <c r="S23" s="52"/>
      <c r="T23" s="52"/>
      <c r="U23" s="52"/>
      <c r="V23" s="52"/>
      <c r="X23" s="52"/>
    </row>
    <row r="24" spans="1:24" s="47" customFormat="1" ht="16.5" x14ac:dyDescent="0.25">
      <c r="A24" s="52"/>
      <c r="B24" s="76"/>
      <c r="C24" s="76"/>
      <c r="D24" s="52"/>
      <c r="E24" s="52"/>
      <c r="F24" s="52"/>
      <c r="G24" s="52"/>
      <c r="H24" s="52"/>
      <c r="I24" s="52"/>
      <c r="J24" s="52"/>
      <c r="L24" s="52"/>
      <c r="M24" s="52"/>
      <c r="N24" s="52"/>
      <c r="O24" s="52"/>
      <c r="Q24" s="52"/>
      <c r="S24" s="52"/>
      <c r="T24" s="52"/>
      <c r="U24" s="52"/>
      <c r="V24" s="52"/>
      <c r="X24" s="52"/>
    </row>
    <row r="25" spans="1:24" s="47" customFormat="1" ht="16.5" x14ac:dyDescent="0.25">
      <c r="B25" s="76"/>
      <c r="C25" s="76"/>
      <c r="D25" s="52"/>
      <c r="E25" s="52"/>
      <c r="F25" s="52"/>
      <c r="G25" s="52"/>
      <c r="H25" s="52"/>
      <c r="I25" s="52"/>
      <c r="J25" s="52"/>
      <c r="L25" s="52"/>
      <c r="M25" s="52"/>
      <c r="N25" s="52"/>
      <c r="O25" s="52"/>
      <c r="Q25" s="52"/>
      <c r="S25" s="52"/>
      <c r="T25" s="52"/>
      <c r="U25" s="52"/>
      <c r="V25" s="52"/>
      <c r="X25" s="52"/>
    </row>
    <row r="26" spans="1:24" s="47" customFormat="1" ht="16.5" x14ac:dyDescent="0.25">
      <c r="B26" s="76"/>
      <c r="C26" s="76"/>
      <c r="D26" s="52"/>
      <c r="E26" s="52"/>
      <c r="F26" s="52"/>
      <c r="G26" s="52"/>
      <c r="H26" s="52"/>
      <c r="I26" s="52"/>
      <c r="J26" s="52"/>
      <c r="L26" s="52"/>
      <c r="M26" s="52"/>
      <c r="N26" s="52"/>
      <c r="O26" s="52"/>
      <c r="Q26" s="52"/>
      <c r="S26" s="52"/>
      <c r="T26" s="52"/>
      <c r="U26" s="52"/>
      <c r="V26" s="52"/>
      <c r="X26" s="52"/>
    </row>
    <row r="27" spans="1:24" s="47" customFormat="1" ht="16.5" x14ac:dyDescent="0.25">
      <c r="A27" s="52"/>
      <c r="B27" s="76"/>
      <c r="C27" s="76"/>
      <c r="D27" s="52"/>
      <c r="E27" s="52"/>
      <c r="F27" s="52"/>
      <c r="G27" s="52"/>
      <c r="H27" s="52"/>
      <c r="I27" s="52"/>
      <c r="J27" s="52"/>
      <c r="L27" s="52"/>
      <c r="M27" s="52"/>
      <c r="N27" s="52"/>
      <c r="O27" s="52"/>
      <c r="Q27" s="52"/>
      <c r="S27" s="52"/>
      <c r="T27" s="52"/>
      <c r="U27" s="52"/>
      <c r="V27" s="52"/>
      <c r="X27" s="52"/>
    </row>
    <row r="28" spans="1:24" x14ac:dyDescent="0.2">
      <c r="A28" s="3"/>
      <c r="B28" s="37"/>
      <c r="C28" s="37"/>
      <c r="J28" s="3"/>
      <c r="L28" s="3"/>
      <c r="M28" s="3"/>
    </row>
    <row r="29" spans="1:24" x14ac:dyDescent="0.2">
      <c r="A29" s="3"/>
      <c r="B29" s="37"/>
      <c r="C29" s="37"/>
      <c r="J29" s="3"/>
      <c r="L29" s="3"/>
      <c r="M29" s="3"/>
    </row>
    <row r="30" spans="1:24" x14ac:dyDescent="0.2">
      <c r="A30" s="3"/>
      <c r="B30" s="37"/>
      <c r="C30" s="37"/>
      <c r="J30" s="3"/>
      <c r="L30" s="3"/>
      <c r="M30" s="3"/>
    </row>
    <row r="31" spans="1:24" x14ac:dyDescent="0.2">
      <c r="A31" s="3"/>
      <c r="B31" s="37"/>
      <c r="C31" s="37"/>
      <c r="J31" s="3"/>
      <c r="L31" s="3"/>
      <c r="M31" s="3"/>
    </row>
    <row r="32" spans="1:24" x14ac:dyDescent="0.2">
      <c r="A32" s="3"/>
      <c r="B32" s="37"/>
      <c r="C32" s="37"/>
      <c r="J32" s="3"/>
      <c r="L32" s="3"/>
      <c r="M32" s="3"/>
    </row>
    <row r="33" spans="1:13" x14ac:dyDescent="0.2">
      <c r="A33" s="3"/>
      <c r="B33" s="37"/>
      <c r="C33" s="37"/>
      <c r="J33" s="3"/>
      <c r="L33" s="3"/>
      <c r="M33" s="3"/>
    </row>
    <row r="34" spans="1:13" x14ac:dyDescent="0.2">
      <c r="A34" s="3"/>
      <c r="B34" s="37"/>
      <c r="C34" s="37"/>
      <c r="J34" s="3"/>
      <c r="L34" s="3"/>
      <c r="M34" s="3"/>
    </row>
    <row r="35" spans="1:13" x14ac:dyDescent="0.2">
      <c r="A35" s="3"/>
      <c r="B35" s="37"/>
      <c r="C35" s="37"/>
      <c r="J35" s="3"/>
      <c r="L35" s="3"/>
      <c r="M35" s="3"/>
    </row>
    <row r="36" spans="1:13" x14ac:dyDescent="0.2">
      <c r="A36" s="3"/>
      <c r="B36" s="37"/>
      <c r="C36" s="37"/>
      <c r="J36" s="3"/>
      <c r="L36" s="3"/>
      <c r="M36" s="3"/>
    </row>
    <row r="37" spans="1:13" x14ac:dyDescent="0.2">
      <c r="A37" s="3"/>
      <c r="B37" s="37"/>
      <c r="C37" s="37"/>
      <c r="J37" s="3"/>
      <c r="L37" s="3"/>
      <c r="M37" s="3"/>
    </row>
    <row r="38" spans="1:13" x14ac:dyDescent="0.2">
      <c r="A38" s="3"/>
      <c r="B38" s="37"/>
      <c r="C38" s="37"/>
      <c r="J38" s="3"/>
      <c r="L38" s="3"/>
      <c r="M38" s="3"/>
    </row>
    <row r="39" spans="1:13" x14ac:dyDescent="0.2">
      <c r="A39" s="3"/>
      <c r="B39" s="37"/>
      <c r="C39" s="37"/>
      <c r="J39" s="3"/>
      <c r="L39" s="3"/>
      <c r="M39" s="3"/>
    </row>
    <row r="40" spans="1:13" x14ac:dyDescent="0.2">
      <c r="A40" s="3"/>
      <c r="B40" s="37"/>
      <c r="C40" s="37"/>
      <c r="J40" s="3"/>
      <c r="L40" s="3"/>
      <c r="M40" s="3"/>
    </row>
    <row r="41" spans="1:13" x14ac:dyDescent="0.2">
      <c r="A41" s="3"/>
      <c r="B41" s="37"/>
      <c r="C41" s="37"/>
      <c r="J41" s="3"/>
      <c r="L41" s="3"/>
      <c r="M41" s="3"/>
    </row>
    <row r="42" spans="1:13" x14ac:dyDescent="0.2">
      <c r="A42" s="3"/>
      <c r="B42" s="37"/>
      <c r="C42" s="37"/>
      <c r="J42" s="3"/>
      <c r="L42" s="3"/>
      <c r="M42" s="3"/>
    </row>
    <row r="43" spans="1:13" x14ac:dyDescent="0.2">
      <c r="A43" s="3"/>
      <c r="B43" s="37"/>
      <c r="C43" s="37"/>
      <c r="J43" s="3"/>
      <c r="L43" s="3"/>
      <c r="M43" s="3"/>
    </row>
    <row r="44" spans="1:13" x14ac:dyDescent="0.2">
      <c r="A44" s="3"/>
      <c r="B44" s="37"/>
      <c r="C44" s="37"/>
      <c r="J44" s="3"/>
      <c r="L44" s="3"/>
      <c r="M44" s="3"/>
    </row>
    <row r="45" spans="1:13" x14ac:dyDescent="0.2">
      <c r="A45" s="3"/>
      <c r="B45" s="37"/>
      <c r="C45" s="37"/>
      <c r="J45" s="3"/>
      <c r="L45" s="3"/>
      <c r="M45" s="3"/>
    </row>
    <row r="46" spans="1:13" x14ac:dyDescent="0.2">
      <c r="A46" s="3"/>
      <c r="B46" s="37"/>
      <c r="C46" s="37"/>
      <c r="J46" s="3"/>
      <c r="L46" s="3"/>
      <c r="M46" s="3"/>
    </row>
    <row r="47" spans="1:13" x14ac:dyDescent="0.2">
      <c r="A47" s="3"/>
      <c r="B47" s="37"/>
      <c r="C47" s="37"/>
      <c r="J47" s="3"/>
      <c r="L47" s="3"/>
      <c r="M47" s="3"/>
    </row>
    <row r="48" spans="1:13" x14ac:dyDescent="0.2">
      <c r="A48" s="3"/>
      <c r="B48" s="37"/>
      <c r="C48" s="37"/>
      <c r="J48" s="3"/>
      <c r="L48" s="3"/>
      <c r="M48" s="3"/>
    </row>
    <row r="49" spans="1:13" x14ac:dyDescent="0.2">
      <c r="A49" s="3"/>
      <c r="B49" s="37"/>
      <c r="C49" s="37"/>
      <c r="J49" s="3"/>
      <c r="L49" s="3"/>
      <c r="M49" s="3"/>
    </row>
    <row r="50" spans="1:13" x14ac:dyDescent="0.2">
      <c r="A50" s="3"/>
      <c r="B50" s="37"/>
      <c r="C50" s="37"/>
      <c r="J50" s="3"/>
      <c r="L50" s="3"/>
      <c r="M50" s="3"/>
    </row>
    <row r="51" spans="1:13" x14ac:dyDescent="0.2">
      <c r="A51" s="3"/>
      <c r="B51" s="37"/>
      <c r="C51" s="37"/>
      <c r="J51" s="3"/>
      <c r="L51" s="3"/>
      <c r="M51" s="3"/>
    </row>
    <row r="52" spans="1:13" x14ac:dyDescent="0.2">
      <c r="A52" s="3"/>
      <c r="B52" s="37"/>
      <c r="C52" s="37"/>
      <c r="J52" s="3"/>
      <c r="L52" s="3"/>
      <c r="M52" s="3"/>
    </row>
    <row r="53" spans="1:13" x14ac:dyDescent="0.2">
      <c r="A53" s="3"/>
      <c r="B53" s="37"/>
      <c r="C53" s="37"/>
      <c r="J53" s="3"/>
      <c r="L53" s="3"/>
      <c r="M53" s="3"/>
    </row>
    <row r="54" spans="1:13" x14ac:dyDescent="0.2">
      <c r="A54" s="3"/>
      <c r="B54" s="37"/>
      <c r="C54" s="37"/>
      <c r="J54" s="3"/>
      <c r="L54" s="3"/>
      <c r="M54" s="3"/>
    </row>
    <row r="55" spans="1:13" x14ac:dyDescent="0.2">
      <c r="A55" s="3"/>
      <c r="B55" s="37"/>
      <c r="C55" s="37"/>
      <c r="J55" s="3"/>
      <c r="L55" s="3"/>
      <c r="M55" s="3"/>
    </row>
    <row r="56" spans="1:13" x14ac:dyDescent="0.2">
      <c r="A56" s="3"/>
      <c r="B56" s="37"/>
      <c r="C56" s="37"/>
      <c r="J56" s="3"/>
      <c r="L56" s="3"/>
      <c r="M56" s="3"/>
    </row>
    <row r="57" spans="1:13" x14ac:dyDescent="0.2">
      <c r="A57" s="3"/>
      <c r="B57" s="37"/>
      <c r="C57" s="37"/>
      <c r="J57" s="3"/>
      <c r="L57" s="3"/>
      <c r="M57" s="3"/>
    </row>
    <row r="58" spans="1:13" x14ac:dyDescent="0.2">
      <c r="A58" s="3"/>
      <c r="B58" s="37"/>
      <c r="C58" s="37"/>
      <c r="J58" s="3"/>
      <c r="L58" s="3"/>
      <c r="M58" s="3"/>
    </row>
    <row r="59" spans="1:13" x14ac:dyDescent="0.2">
      <c r="A59" s="3"/>
      <c r="B59" s="37"/>
      <c r="C59" s="37"/>
      <c r="J59" s="3"/>
      <c r="L59" s="3"/>
      <c r="M59" s="3"/>
    </row>
    <row r="60" spans="1:13" x14ac:dyDescent="0.2">
      <c r="A60" s="3"/>
      <c r="B60" s="37"/>
      <c r="C60" s="37"/>
      <c r="J60" s="3"/>
      <c r="L60" s="3"/>
      <c r="M60" s="3"/>
    </row>
    <row r="61" spans="1:13" x14ac:dyDescent="0.2">
      <c r="A61" s="3"/>
      <c r="B61" s="37"/>
      <c r="C61" s="37"/>
      <c r="J61" s="3"/>
      <c r="L61" s="3"/>
      <c r="M61" s="3"/>
    </row>
    <row r="62" spans="1:13" x14ac:dyDescent="0.2">
      <c r="A62" s="3"/>
      <c r="B62" s="37"/>
      <c r="C62" s="37"/>
      <c r="J62" s="3"/>
      <c r="L62" s="3"/>
      <c r="M62" s="3"/>
    </row>
    <row r="63" spans="1:13" x14ac:dyDescent="0.2">
      <c r="A63" s="3"/>
      <c r="B63" s="37"/>
      <c r="C63" s="37"/>
      <c r="J63" s="3"/>
      <c r="L63" s="3"/>
      <c r="M63" s="3"/>
    </row>
    <row r="64" spans="1:13" x14ac:dyDescent="0.2">
      <c r="A64" s="3"/>
      <c r="B64" s="37"/>
      <c r="C64" s="37"/>
      <c r="J64" s="3"/>
      <c r="L64" s="3"/>
      <c r="M64" s="3"/>
    </row>
    <row r="65" spans="1:13" x14ac:dyDescent="0.2">
      <c r="A65" s="3"/>
      <c r="B65" s="37"/>
      <c r="C65" s="37"/>
      <c r="J65" s="3"/>
      <c r="L65" s="3"/>
      <c r="M65" s="3"/>
    </row>
    <row r="66" spans="1:13" x14ac:dyDescent="0.2">
      <c r="A66" s="3"/>
      <c r="B66" s="37"/>
      <c r="C66" s="37"/>
      <c r="J66" s="3"/>
      <c r="L66" s="3"/>
      <c r="M66" s="3"/>
    </row>
    <row r="67" spans="1:13" x14ac:dyDescent="0.2">
      <c r="A67" s="3"/>
      <c r="B67" s="37"/>
      <c r="C67" s="37"/>
      <c r="J67" s="3"/>
      <c r="L67" s="3"/>
      <c r="M67" s="3"/>
    </row>
    <row r="68" spans="1:13" x14ac:dyDescent="0.2">
      <c r="A68" s="3"/>
      <c r="B68" s="37"/>
      <c r="C68" s="37"/>
      <c r="J68" s="3"/>
      <c r="L68" s="3"/>
      <c r="M68" s="3"/>
    </row>
    <row r="69" spans="1:13" x14ac:dyDescent="0.2">
      <c r="A69" s="3"/>
      <c r="B69" s="37"/>
      <c r="C69" s="37"/>
      <c r="J69" s="3"/>
      <c r="L69" s="3"/>
      <c r="M69" s="3"/>
    </row>
    <row r="70" spans="1:13" x14ac:dyDescent="0.2">
      <c r="A70" s="3"/>
      <c r="B70" s="37"/>
      <c r="C70" s="37"/>
      <c r="J70" s="3"/>
      <c r="L70" s="3"/>
      <c r="M70" s="3"/>
    </row>
    <row r="71" spans="1:13" x14ac:dyDescent="0.2">
      <c r="A71" s="3"/>
      <c r="B71" s="37"/>
      <c r="C71" s="37"/>
      <c r="J71" s="3"/>
      <c r="L71" s="3"/>
      <c r="M71" s="3"/>
    </row>
    <row r="72" spans="1:13" x14ac:dyDescent="0.2">
      <c r="A72" s="3"/>
      <c r="B72" s="37"/>
      <c r="C72" s="37"/>
      <c r="J72" s="3"/>
      <c r="L72" s="3"/>
      <c r="M72" s="3"/>
    </row>
    <row r="73" spans="1:13" x14ac:dyDescent="0.2">
      <c r="A73" s="3"/>
      <c r="B73" s="37"/>
      <c r="C73" s="37"/>
      <c r="J73" s="3"/>
      <c r="L73" s="3"/>
      <c r="M73" s="3"/>
    </row>
    <row r="74" spans="1:13" x14ac:dyDescent="0.2">
      <c r="A74" s="3"/>
      <c r="B74" s="37"/>
      <c r="C74" s="37"/>
      <c r="J74" s="3"/>
      <c r="L74" s="3"/>
      <c r="M74" s="3"/>
    </row>
    <row r="75" spans="1:13" x14ac:dyDescent="0.2">
      <c r="A75" s="3"/>
      <c r="B75" s="37"/>
      <c r="C75" s="37"/>
      <c r="J75" s="3"/>
      <c r="L75" s="3"/>
      <c r="M75" s="3"/>
    </row>
    <row r="76" spans="1:13" x14ac:dyDescent="0.2">
      <c r="A76" s="3"/>
      <c r="B76" s="37"/>
      <c r="C76" s="37"/>
      <c r="J76" s="3"/>
      <c r="L76" s="3"/>
      <c r="M76" s="3"/>
    </row>
    <row r="77" spans="1:13" x14ac:dyDescent="0.2">
      <c r="A77" s="3"/>
      <c r="B77" s="37"/>
      <c r="C77" s="37"/>
      <c r="J77" s="3"/>
      <c r="L77" s="3"/>
      <c r="M77" s="3"/>
    </row>
    <row r="78" spans="1:13" x14ac:dyDescent="0.2">
      <c r="A78" s="3"/>
      <c r="B78" s="37"/>
      <c r="C78" s="37"/>
      <c r="J78" s="3"/>
      <c r="L78" s="3"/>
      <c r="M78" s="3"/>
    </row>
    <row r="79" spans="1:13" x14ac:dyDescent="0.2">
      <c r="A79" s="3"/>
      <c r="B79" s="37"/>
      <c r="C79" s="37"/>
      <c r="J79" s="3"/>
      <c r="L79" s="3"/>
      <c r="M79" s="3"/>
    </row>
    <row r="80" spans="1:13" x14ac:dyDescent="0.2">
      <c r="A80" s="3"/>
      <c r="B80" s="37"/>
      <c r="C80" s="37"/>
      <c r="J80" s="3"/>
      <c r="L80" s="3"/>
      <c r="M80" s="3"/>
    </row>
    <row r="81" spans="1:13" x14ac:dyDescent="0.2">
      <c r="A81" s="3"/>
      <c r="B81" s="37"/>
      <c r="C81" s="37"/>
      <c r="J81" s="3"/>
      <c r="L81" s="3"/>
      <c r="M81" s="3"/>
    </row>
    <row r="82" spans="1:13" x14ac:dyDescent="0.2">
      <c r="A82" s="3"/>
      <c r="B82" s="37"/>
      <c r="C82" s="37"/>
      <c r="J82" s="3"/>
      <c r="L82" s="3"/>
      <c r="M82" s="3"/>
    </row>
    <row r="83" spans="1:13" x14ac:dyDescent="0.2">
      <c r="A83" s="3"/>
      <c r="B83" s="37"/>
      <c r="C83" s="37"/>
      <c r="J83" s="3"/>
      <c r="L83" s="3"/>
      <c r="M83" s="3"/>
    </row>
    <row r="84" spans="1:13" x14ac:dyDescent="0.2">
      <c r="A84" s="3"/>
      <c r="B84" s="37"/>
      <c r="C84" s="37"/>
      <c r="J84" s="3"/>
      <c r="L84" s="3"/>
      <c r="M84" s="3"/>
    </row>
    <row r="85" spans="1:13" x14ac:dyDescent="0.2">
      <c r="A85" s="3"/>
      <c r="B85" s="37"/>
      <c r="C85" s="37"/>
      <c r="J85" s="3"/>
      <c r="L85" s="3"/>
      <c r="M85" s="3"/>
    </row>
    <row r="86" spans="1:13" x14ac:dyDescent="0.2">
      <c r="A86" s="3"/>
      <c r="B86" s="37"/>
      <c r="C86" s="37"/>
      <c r="J86" s="3"/>
      <c r="L86" s="3"/>
      <c r="M86" s="3"/>
    </row>
    <row r="87" spans="1:13" x14ac:dyDescent="0.2">
      <c r="A87" s="3"/>
      <c r="B87" s="37"/>
      <c r="C87" s="37"/>
      <c r="J87" s="3"/>
      <c r="L87" s="3"/>
      <c r="M87" s="3"/>
    </row>
    <row r="88" spans="1:13" x14ac:dyDescent="0.2">
      <c r="A88" s="3"/>
      <c r="B88" s="37"/>
      <c r="C88" s="37"/>
      <c r="J88" s="3"/>
      <c r="L88" s="3"/>
      <c r="M88" s="3"/>
    </row>
    <row r="89" spans="1:13" x14ac:dyDescent="0.2">
      <c r="A89" s="3"/>
      <c r="B89" s="37"/>
      <c r="C89" s="37"/>
      <c r="J89" s="3"/>
      <c r="L89" s="3"/>
      <c r="M89" s="3"/>
    </row>
    <row r="90" spans="1:13" x14ac:dyDescent="0.2">
      <c r="A90" s="3"/>
      <c r="B90" s="37"/>
      <c r="C90" s="37"/>
      <c r="J90" s="3"/>
      <c r="L90" s="3"/>
      <c r="M90" s="3"/>
    </row>
    <row r="91" spans="1:13" x14ac:dyDescent="0.2">
      <c r="A91" s="3"/>
      <c r="B91" s="37"/>
      <c r="C91" s="37"/>
      <c r="J91" s="3"/>
      <c r="L91" s="3"/>
      <c r="M91" s="3"/>
    </row>
    <row r="92" spans="1:13" x14ac:dyDescent="0.2">
      <c r="A92" s="3"/>
      <c r="B92" s="37"/>
      <c r="C92" s="37"/>
      <c r="J92" s="3"/>
      <c r="L92" s="3"/>
      <c r="M92" s="3"/>
    </row>
    <row r="93" spans="1:13" x14ac:dyDescent="0.2">
      <c r="A93" s="3"/>
      <c r="B93" s="37"/>
      <c r="C93" s="37"/>
      <c r="J93" s="3"/>
      <c r="L93" s="3"/>
      <c r="M93" s="3"/>
    </row>
    <row r="94" spans="1:13" x14ac:dyDescent="0.2">
      <c r="A94" s="3"/>
      <c r="B94" s="37"/>
      <c r="C94" s="37"/>
      <c r="J94" s="3"/>
      <c r="L94" s="3"/>
      <c r="M94" s="3"/>
    </row>
    <row r="95" spans="1:13" x14ac:dyDescent="0.2">
      <c r="A95" s="3"/>
      <c r="B95" s="37"/>
      <c r="C95" s="37"/>
      <c r="J95" s="3"/>
      <c r="L95" s="3"/>
      <c r="M95" s="3"/>
    </row>
    <row r="96" spans="1:13" x14ac:dyDescent="0.2">
      <c r="A96" s="3"/>
      <c r="B96" s="37"/>
      <c r="C96" s="37"/>
      <c r="J96" s="3"/>
      <c r="L96" s="3"/>
      <c r="M96" s="3"/>
    </row>
    <row r="97" spans="1:13" x14ac:dyDescent="0.2">
      <c r="A97" s="3"/>
      <c r="B97" s="37"/>
      <c r="C97" s="37"/>
      <c r="J97" s="3"/>
      <c r="L97" s="3"/>
      <c r="M97" s="3"/>
    </row>
    <row r="98" spans="1:13" x14ac:dyDescent="0.2">
      <c r="A98" s="3"/>
      <c r="B98" s="37"/>
      <c r="C98" s="37"/>
      <c r="J98" s="3"/>
      <c r="L98" s="3"/>
      <c r="M98" s="3"/>
    </row>
    <row r="99" spans="1:13" x14ac:dyDescent="0.2">
      <c r="A99" s="3"/>
      <c r="B99" s="37"/>
      <c r="C99" s="37"/>
      <c r="J99" s="3"/>
      <c r="L99" s="3"/>
      <c r="M99" s="3"/>
    </row>
    <row r="100" spans="1:13" x14ac:dyDescent="0.2">
      <c r="A100" s="3"/>
      <c r="B100" s="37"/>
      <c r="C100" s="37"/>
      <c r="J100" s="3"/>
      <c r="L100" s="3"/>
      <c r="M100" s="3"/>
    </row>
    <row r="101" spans="1:13" x14ac:dyDescent="0.2">
      <c r="A101" s="3"/>
      <c r="B101" s="37"/>
      <c r="C101" s="37"/>
      <c r="J101" s="3"/>
      <c r="L101" s="3"/>
      <c r="M101" s="3"/>
    </row>
    <row r="102" spans="1:13" x14ac:dyDescent="0.2">
      <c r="A102" s="3"/>
      <c r="B102" s="37"/>
      <c r="C102" s="37"/>
      <c r="J102" s="3"/>
      <c r="L102" s="3"/>
      <c r="M102" s="3"/>
    </row>
    <row r="103" spans="1:13" x14ac:dyDescent="0.2">
      <c r="A103" s="3"/>
      <c r="B103" s="37"/>
      <c r="C103" s="37"/>
      <c r="J103" s="3"/>
      <c r="L103" s="3"/>
      <c r="M103" s="3"/>
    </row>
    <row r="104" spans="1:13" x14ac:dyDescent="0.2">
      <c r="A104" s="3"/>
      <c r="B104" s="37"/>
      <c r="C104" s="37"/>
      <c r="J104" s="3"/>
      <c r="L104" s="3"/>
      <c r="M104" s="3"/>
    </row>
    <row r="105" spans="1:13" x14ac:dyDescent="0.2">
      <c r="A105" s="3"/>
      <c r="B105" s="37"/>
      <c r="C105" s="37"/>
      <c r="J105" s="3"/>
      <c r="L105" s="3"/>
      <c r="M105" s="3"/>
    </row>
    <row r="106" spans="1:13" x14ac:dyDescent="0.2">
      <c r="A106" s="3"/>
      <c r="B106" s="37"/>
      <c r="C106" s="37"/>
      <c r="J106" s="3"/>
      <c r="L106" s="3"/>
      <c r="M106" s="3"/>
    </row>
    <row r="107" spans="1:13" x14ac:dyDescent="0.2">
      <c r="A107" s="3"/>
      <c r="B107" s="37"/>
      <c r="C107" s="37"/>
      <c r="J107" s="3"/>
      <c r="L107" s="3"/>
      <c r="M107" s="3"/>
    </row>
    <row r="108" spans="1:13" x14ac:dyDescent="0.2">
      <c r="A108" s="3"/>
      <c r="B108" s="37"/>
      <c r="C108" s="37"/>
      <c r="J108" s="3"/>
      <c r="L108" s="3"/>
      <c r="M108" s="3"/>
    </row>
    <row r="109" spans="1:13" x14ac:dyDescent="0.2">
      <c r="A109" s="3"/>
      <c r="B109" s="37"/>
      <c r="C109" s="37"/>
      <c r="J109" s="3"/>
      <c r="L109" s="3"/>
      <c r="M109" s="3"/>
    </row>
    <row r="110" spans="1:13" x14ac:dyDescent="0.2">
      <c r="A110" s="3"/>
      <c r="B110" s="37"/>
      <c r="C110" s="37"/>
      <c r="J110" s="3"/>
      <c r="L110" s="3"/>
      <c r="M110" s="3"/>
    </row>
    <row r="111" spans="1:13" x14ac:dyDescent="0.2">
      <c r="A111" s="3"/>
      <c r="B111" s="37"/>
      <c r="C111" s="37"/>
      <c r="J111" s="3"/>
      <c r="L111" s="3"/>
      <c r="M111" s="3"/>
    </row>
    <row r="112" spans="1:13" x14ac:dyDescent="0.2">
      <c r="A112" s="3"/>
      <c r="B112" s="37"/>
      <c r="C112" s="37"/>
      <c r="J112" s="3"/>
      <c r="L112" s="3"/>
      <c r="M112" s="3"/>
    </row>
    <row r="113" spans="1:13" x14ac:dyDescent="0.2">
      <c r="A113" s="3"/>
      <c r="B113" s="37"/>
      <c r="C113" s="37"/>
      <c r="J113" s="3"/>
      <c r="L113" s="3"/>
      <c r="M113" s="3"/>
    </row>
    <row r="114" spans="1:13" x14ac:dyDescent="0.2">
      <c r="A114" s="3"/>
      <c r="B114" s="37"/>
      <c r="C114" s="37"/>
      <c r="J114" s="3"/>
      <c r="L114" s="3"/>
      <c r="M114" s="3"/>
    </row>
    <row r="115" spans="1:13" x14ac:dyDescent="0.2">
      <c r="A115" s="3"/>
      <c r="B115" s="37"/>
      <c r="C115" s="37"/>
      <c r="J115" s="3"/>
      <c r="L115" s="3"/>
      <c r="M115" s="3"/>
    </row>
    <row r="116" spans="1:13" x14ac:dyDescent="0.2">
      <c r="A116" s="3"/>
      <c r="B116" s="37"/>
      <c r="C116" s="37"/>
      <c r="J116" s="3"/>
      <c r="L116" s="3"/>
      <c r="M116" s="3"/>
    </row>
    <row r="117" spans="1:13" x14ac:dyDescent="0.2">
      <c r="A117" s="3"/>
      <c r="B117" s="37"/>
      <c r="C117" s="37"/>
      <c r="J117" s="3"/>
      <c r="L117" s="3"/>
      <c r="M117" s="3"/>
    </row>
  </sheetData>
  <mergeCells count="3">
    <mergeCell ref="E3:H3"/>
    <mergeCell ref="L3:O3"/>
    <mergeCell ref="S3:V3"/>
  </mergeCells>
  <pageMargins left="0.25" right="0.25" top="0.75" bottom="0.75" header="0.3" footer="0.3"/>
  <pageSetup scale="4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0079FF"/>
    <pageSetUpPr fitToPage="1"/>
  </sheetPr>
  <dimension ref="A1:AA31"/>
  <sheetViews>
    <sheetView zoomScale="65" zoomScaleNormal="65" zoomScaleSheetLayoutView="85" workbookViewId="0">
      <pane xSplit="1" ySplit="4" topLeftCell="B5" activePane="bottomRight" state="frozen"/>
      <selection activeCell="B2" sqref="B2"/>
      <selection pane="topRight" activeCell="B2" sqref="B2"/>
      <selection pane="bottomLeft" activeCell="B2" sqref="B2"/>
      <selection pane="bottomRight" activeCell="B5" sqref="B5"/>
    </sheetView>
  </sheetViews>
  <sheetFormatPr defaultColWidth="9.140625" defaultRowHeight="11.25" outlineLevelCol="2" x14ac:dyDescent="0.2"/>
  <cols>
    <col min="1" max="1" width="65.42578125" style="13" bestFit="1" customWidth="1"/>
    <col min="2" max="3" width="20.7109375" style="13" customWidth="1" outlineLevel="1"/>
    <col min="4" max="4" width="1.140625" style="3" hidden="1" customWidth="1" outlineLevel="2"/>
    <col min="5" max="8" width="20.7109375" style="13" hidden="1" customWidth="1" outlineLevel="2"/>
    <col min="9" max="9" width="1.140625" style="3" hidden="1" customWidth="1" outlineLevel="2"/>
    <col min="10" max="10" width="20.7109375" style="13" customWidth="1" outlineLevel="1" collapsed="1"/>
    <col min="11" max="11" width="1.140625" style="3" customWidth="1"/>
    <col min="12" max="15" width="20.7109375" style="13" customWidth="1" outlineLevel="1"/>
    <col min="16" max="16" width="1.140625" style="3" customWidth="1"/>
    <col min="17" max="17" width="20.7109375" style="13" customWidth="1"/>
    <col min="18" max="18" width="2.28515625" style="13" customWidth="1"/>
    <col min="19" max="22" width="20.7109375" style="13" customWidth="1"/>
    <col min="23" max="23" width="1.42578125" style="3" customWidth="1"/>
    <col min="24" max="24" width="20.7109375" style="13" customWidth="1"/>
    <col min="25" max="26" width="14.85546875" style="13" customWidth="1"/>
    <col min="27" max="27" width="3.85546875" style="13" customWidth="1"/>
    <col min="28" max="28" width="9.28515625" style="3" bestFit="1" customWidth="1"/>
    <col min="29" max="16384" width="9.140625" style="3"/>
  </cols>
  <sheetData>
    <row r="1" spans="1:27" ht="18" x14ac:dyDescent="0.25">
      <c r="A1" s="198" t="s">
        <v>176</v>
      </c>
      <c r="D1" s="24"/>
      <c r="I1" s="24"/>
      <c r="K1" s="24"/>
      <c r="P1" s="24"/>
    </row>
    <row r="2" spans="1:27" x14ac:dyDescent="0.2">
      <c r="A2" s="11"/>
      <c r="B2" s="11"/>
      <c r="C2" s="12"/>
      <c r="D2" s="1"/>
      <c r="I2" s="1"/>
      <c r="K2" s="1"/>
      <c r="P2" s="1"/>
    </row>
    <row r="3" spans="1:27" s="24" customFormat="1" ht="30" customHeight="1" x14ac:dyDescent="0.25">
      <c r="A3" s="83"/>
      <c r="B3" s="98" t="s">
        <v>31</v>
      </c>
      <c r="C3" s="196" t="s">
        <v>31</v>
      </c>
      <c r="D3" s="79"/>
      <c r="E3" s="354" t="s">
        <v>1</v>
      </c>
      <c r="F3" s="354"/>
      <c r="G3" s="354"/>
      <c r="H3" s="354"/>
      <c r="I3" s="79"/>
      <c r="J3" s="196" t="s">
        <v>31</v>
      </c>
      <c r="K3" s="79"/>
      <c r="L3" s="354" t="s">
        <v>1</v>
      </c>
      <c r="M3" s="354"/>
      <c r="N3" s="354"/>
      <c r="O3" s="354"/>
      <c r="P3" s="79"/>
      <c r="Q3" s="262" t="s">
        <v>31</v>
      </c>
      <c r="R3" s="99"/>
      <c r="S3" s="354" t="s">
        <v>1</v>
      </c>
      <c r="T3" s="354"/>
      <c r="U3" s="354"/>
      <c r="V3" s="354"/>
      <c r="X3" s="302" t="s">
        <v>31</v>
      </c>
      <c r="Y3" s="99"/>
      <c r="Z3" s="99"/>
      <c r="AA3" s="99"/>
    </row>
    <row r="4" spans="1:27" s="24" customFormat="1" ht="30" customHeight="1" x14ac:dyDescent="0.25">
      <c r="A4" s="83" t="s">
        <v>0</v>
      </c>
      <c r="B4" s="100" t="s">
        <v>155</v>
      </c>
      <c r="C4" s="101" t="s">
        <v>159</v>
      </c>
      <c r="D4" s="85"/>
      <c r="E4" s="84" t="s">
        <v>156</v>
      </c>
      <c r="F4" s="84" t="s">
        <v>157</v>
      </c>
      <c r="G4" s="84" t="s">
        <v>158</v>
      </c>
      <c r="H4" s="84" t="s">
        <v>100</v>
      </c>
      <c r="I4" s="85"/>
      <c r="J4" s="84" t="s">
        <v>100</v>
      </c>
      <c r="K4" s="85"/>
      <c r="L4" s="84" t="s">
        <v>148</v>
      </c>
      <c r="M4" s="84" t="s">
        <v>149</v>
      </c>
      <c r="N4" s="84" t="s">
        <v>109</v>
      </c>
      <c r="O4" s="84" t="s">
        <v>314</v>
      </c>
      <c r="P4" s="85"/>
      <c r="Q4" s="84" t="s">
        <v>314</v>
      </c>
      <c r="R4" s="99"/>
      <c r="S4" s="84" t="s">
        <v>327</v>
      </c>
      <c r="T4" s="84" t="s">
        <v>330</v>
      </c>
      <c r="U4" s="84" t="s">
        <v>338</v>
      </c>
      <c r="V4" s="84" t="s">
        <v>346</v>
      </c>
      <c r="X4" s="84" t="s">
        <v>346</v>
      </c>
      <c r="Y4" s="99"/>
      <c r="Z4" s="99"/>
      <c r="AA4" s="99"/>
    </row>
    <row r="5" spans="1:27" ht="16.5" x14ac:dyDescent="0.25">
      <c r="A5" s="3"/>
      <c r="D5" s="51"/>
      <c r="I5" s="51"/>
      <c r="K5" s="51"/>
      <c r="P5" s="51"/>
    </row>
    <row r="6" spans="1:27" s="52" customFormat="1" ht="16.5" x14ac:dyDescent="0.25">
      <c r="A6" s="62" t="s">
        <v>32</v>
      </c>
      <c r="B6" s="89">
        <v>705.89700000000005</v>
      </c>
      <c r="C6" s="89">
        <v>740.09999999999991</v>
      </c>
      <c r="D6" s="55"/>
      <c r="E6" s="89">
        <v>186.45599999999999</v>
      </c>
      <c r="F6" s="89">
        <v>200.80699999999999</v>
      </c>
      <c r="G6" s="89">
        <v>197.46700000000001</v>
      </c>
      <c r="H6" s="89">
        <v>211.5</v>
      </c>
      <c r="I6" s="55"/>
      <c r="J6" s="89">
        <v>796.28700000000003</v>
      </c>
      <c r="K6" s="55"/>
      <c r="L6" s="89">
        <v>207.095</v>
      </c>
      <c r="M6" s="89">
        <v>211.43600000000001</v>
      </c>
      <c r="N6" s="89">
        <v>217.93600000000001</v>
      </c>
      <c r="O6" s="89">
        <v>210.05799999999999</v>
      </c>
      <c r="P6" s="55"/>
      <c r="Q6" s="89">
        <v>846.52499999999998</v>
      </c>
      <c r="R6" s="102"/>
      <c r="S6" s="89">
        <f>+'CES Revenue Metrics'!S11</f>
        <v>185.86500000000001</v>
      </c>
      <c r="T6" s="89">
        <f>+'CES Revenue Metrics'!T11</f>
        <v>204.08</v>
      </c>
      <c r="U6" s="89">
        <f>+'CES Revenue Metrics'!U11</f>
        <v>215.22199999999998</v>
      </c>
      <c r="V6" s="89">
        <f>+'CES Revenue Metrics'!V11</f>
        <v>225.07999999999998</v>
      </c>
      <c r="X6" s="89">
        <f>+S6+T6+U6+V6</f>
        <v>830.24700000000007</v>
      </c>
      <c r="Y6" s="102"/>
      <c r="Z6" s="102"/>
      <c r="AA6" s="102"/>
    </row>
    <row r="7" spans="1:27" s="52" customFormat="1" ht="16.5" x14ac:dyDescent="0.25">
      <c r="B7" s="102"/>
      <c r="C7" s="102"/>
      <c r="D7" s="60"/>
      <c r="E7" s="102"/>
      <c r="F7" s="102"/>
      <c r="G7" s="102"/>
      <c r="H7" s="102"/>
      <c r="I7" s="60"/>
      <c r="J7" s="102"/>
      <c r="K7" s="60"/>
      <c r="L7" s="102"/>
      <c r="M7" s="102"/>
      <c r="N7" s="102"/>
      <c r="O7" s="102"/>
      <c r="P7" s="60"/>
      <c r="Q7" s="102"/>
      <c r="R7" s="102"/>
      <c r="S7" s="102"/>
      <c r="T7" s="102"/>
      <c r="U7" s="102"/>
      <c r="V7" s="102"/>
      <c r="X7" s="102"/>
      <c r="Y7" s="102"/>
      <c r="Z7" s="102"/>
      <c r="AA7" s="102"/>
    </row>
    <row r="8" spans="1:27" s="52" customFormat="1" ht="16.5" x14ac:dyDescent="0.25">
      <c r="A8" s="52" t="s">
        <v>141</v>
      </c>
      <c r="B8" s="103">
        <v>32.731999999999999</v>
      </c>
      <c r="C8" s="103">
        <v>34.700000000000003</v>
      </c>
      <c r="D8" s="60"/>
      <c r="E8" s="103">
        <v>8.7989999999999995</v>
      </c>
      <c r="F8" s="103">
        <v>8.5229999999999997</v>
      </c>
      <c r="G8" s="103">
        <v>9.1319999999999997</v>
      </c>
      <c r="H8" s="103">
        <v>8.5640000000000001</v>
      </c>
      <c r="I8" s="60"/>
      <c r="J8" s="103">
        <v>35.018000000000001</v>
      </c>
      <c r="K8" s="60"/>
      <c r="L8" s="103">
        <v>8.4619999999999997</v>
      </c>
      <c r="M8" s="103">
        <v>8.8610000000000007</v>
      </c>
      <c r="N8" s="103">
        <v>8.4130000000000003</v>
      </c>
      <c r="O8" s="103">
        <v>9.7100000000000009</v>
      </c>
      <c r="P8" s="60"/>
      <c r="Q8" s="103">
        <v>35.454999999999998</v>
      </c>
      <c r="R8" s="102"/>
      <c r="S8" s="103">
        <v>7.1340000000000003</v>
      </c>
      <c r="T8" s="103">
        <v>8.0709999999999997</v>
      </c>
      <c r="U8" s="103">
        <v>9.2240000000000002</v>
      </c>
      <c r="V8" s="103">
        <v>10.089</v>
      </c>
      <c r="X8" s="103">
        <f>+S8+T8+U8+V8</f>
        <v>34.518000000000001</v>
      </c>
      <c r="Y8" s="102"/>
      <c r="Z8" s="102"/>
      <c r="AA8" s="102"/>
    </row>
    <row r="9" spans="1:27" s="52" customFormat="1" ht="16.5" x14ac:dyDescent="0.25">
      <c r="A9" s="52" t="s">
        <v>142</v>
      </c>
      <c r="B9" s="103">
        <v>192.071</v>
      </c>
      <c r="C9" s="103">
        <v>199.17099999999999</v>
      </c>
      <c r="D9" s="60"/>
      <c r="E9" s="103">
        <v>51.771999999999998</v>
      </c>
      <c r="F9" s="103">
        <v>53.433</v>
      </c>
      <c r="G9" s="103">
        <v>51.024000000000001</v>
      </c>
      <c r="H9" s="103">
        <v>53.075000000000003</v>
      </c>
      <c r="I9" s="60"/>
      <c r="J9" s="103">
        <v>209.30500000000001</v>
      </c>
      <c r="K9" s="60"/>
      <c r="L9" s="103">
        <v>57.826999999999998</v>
      </c>
      <c r="M9" s="103">
        <v>57.841000000000001</v>
      </c>
      <c r="N9" s="103">
        <v>56.515999999999998</v>
      </c>
      <c r="O9" s="103">
        <v>54.377000000000002</v>
      </c>
      <c r="P9" s="60"/>
      <c r="Q9" s="103">
        <v>226.55500000000001</v>
      </c>
      <c r="R9" s="102"/>
      <c r="S9" s="103">
        <v>55.655999999999999</v>
      </c>
      <c r="T9" s="103">
        <v>50.985999999999997</v>
      </c>
      <c r="U9" s="103">
        <v>54.594999999999999</v>
      </c>
      <c r="V9" s="103">
        <v>57.682000000000002</v>
      </c>
      <c r="X9" s="103">
        <f>+S9+T9+U9+V9</f>
        <v>218.91899999999998</v>
      </c>
      <c r="Y9" s="102"/>
      <c r="Z9" s="102"/>
      <c r="AA9" s="102"/>
    </row>
    <row r="10" spans="1:27" s="52" customFormat="1" ht="16.5" x14ac:dyDescent="0.25">
      <c r="A10" s="52" t="s">
        <v>27</v>
      </c>
      <c r="B10" s="103">
        <v>21.166</v>
      </c>
      <c r="C10" s="103">
        <v>22.21</v>
      </c>
      <c r="D10" s="67"/>
      <c r="E10" s="103">
        <v>4.2649999999999997</v>
      </c>
      <c r="F10" s="103">
        <v>4.1040000000000001</v>
      </c>
      <c r="G10" s="103">
        <v>4.5723000000000003</v>
      </c>
      <c r="H10" s="103">
        <v>5.0430000000000001</v>
      </c>
      <c r="I10" s="67"/>
      <c r="J10" s="103">
        <v>17.984999999999999</v>
      </c>
      <c r="K10" s="67"/>
      <c r="L10" s="103">
        <v>5.3879999999999999</v>
      </c>
      <c r="M10" s="103">
        <v>5.2240000000000002</v>
      </c>
      <c r="N10" s="103">
        <v>5.6050000000000004</v>
      </c>
      <c r="O10" s="103">
        <v>5.3609999999999998</v>
      </c>
      <c r="P10" s="67"/>
      <c r="Q10" s="103">
        <v>21.577999999999999</v>
      </c>
      <c r="R10" s="102"/>
      <c r="S10" s="103">
        <v>4.3559999999999999</v>
      </c>
      <c r="T10" s="103">
        <v>4.1890000000000001</v>
      </c>
      <c r="U10" s="103">
        <v>4.0449999999999999</v>
      </c>
      <c r="V10" s="103">
        <v>5.3730000000000002</v>
      </c>
      <c r="X10" s="103">
        <f>+S10+T10+U10+V10</f>
        <v>17.963000000000001</v>
      </c>
      <c r="Y10" s="102"/>
      <c r="Z10" s="102"/>
      <c r="AA10" s="102"/>
    </row>
    <row r="11" spans="1:27" s="52" customFormat="1" ht="16.5" x14ac:dyDescent="0.25">
      <c r="A11" s="52" t="s">
        <v>122</v>
      </c>
      <c r="B11" s="103">
        <v>7.0759999999999996</v>
      </c>
      <c r="C11" s="103">
        <v>6.8479999999999999</v>
      </c>
      <c r="D11" s="67"/>
      <c r="E11" s="103">
        <v>0.68400000000000005</v>
      </c>
      <c r="F11" s="103">
        <v>1.5740000000000001</v>
      </c>
      <c r="G11" s="103">
        <v>1.1000000000000001</v>
      </c>
      <c r="H11" s="103">
        <v>1.0629999999999999</v>
      </c>
      <c r="I11" s="67"/>
      <c r="J11" s="103">
        <v>4.4269999999999996</v>
      </c>
      <c r="K11" s="67"/>
      <c r="L11" s="103">
        <v>1.0840000000000001</v>
      </c>
      <c r="M11" s="103">
        <v>1.57</v>
      </c>
      <c r="N11" s="103">
        <v>1.363</v>
      </c>
      <c r="O11" s="103">
        <v>2.3010000000000002</v>
      </c>
      <c r="P11" s="67"/>
      <c r="Q11" s="103">
        <v>6.3179999999999996</v>
      </c>
      <c r="R11" s="102"/>
      <c r="S11" s="103">
        <v>0.748</v>
      </c>
      <c r="T11" s="103">
        <v>1.3460000000000001</v>
      </c>
      <c r="U11" s="103">
        <v>1.7949999999999999</v>
      </c>
      <c r="V11" s="103">
        <v>0.27</v>
      </c>
      <c r="X11" s="103">
        <f>+S11+T11+U11+V11</f>
        <v>4.1590000000000007</v>
      </c>
      <c r="Y11" s="102"/>
      <c r="Z11" s="102"/>
      <c r="AA11" s="102"/>
    </row>
    <row r="12" spans="1:27" s="52" customFormat="1" ht="16.5" x14ac:dyDescent="0.25">
      <c r="A12" s="52" t="s">
        <v>125</v>
      </c>
      <c r="B12" s="104">
        <v>10.176</v>
      </c>
      <c r="C12" s="104">
        <v>7.6440000000000001</v>
      </c>
      <c r="D12" s="60"/>
      <c r="E12" s="104">
        <v>2.2429999999999999</v>
      </c>
      <c r="F12" s="104">
        <v>1.7549999999999999</v>
      </c>
      <c r="G12" s="104">
        <v>2.3540000000000001</v>
      </c>
      <c r="H12" s="104">
        <v>2.1</v>
      </c>
      <c r="I12" s="60"/>
      <c r="J12" s="104">
        <v>8.4570000000000007</v>
      </c>
      <c r="K12" s="60"/>
      <c r="L12" s="104">
        <v>2.1269999999999998</v>
      </c>
      <c r="M12" s="104">
        <v>2.9590000000000001</v>
      </c>
      <c r="N12" s="104">
        <v>2.601</v>
      </c>
      <c r="O12" s="104">
        <v>2.4380000000000002</v>
      </c>
      <c r="P12" s="60"/>
      <c r="Q12" s="104">
        <v>10.125</v>
      </c>
      <c r="R12" s="102"/>
      <c r="S12" s="104">
        <v>1.7110000000000001</v>
      </c>
      <c r="T12" s="104">
        <v>1.7969999999999999</v>
      </c>
      <c r="U12" s="104">
        <v>2.8439999999999999</v>
      </c>
      <c r="V12" s="104">
        <v>2.0579999999999998</v>
      </c>
      <c r="X12" s="104">
        <f>+S12+T12+U12+V12</f>
        <v>8.41</v>
      </c>
      <c r="Y12" s="102"/>
      <c r="Z12" s="102"/>
      <c r="AA12" s="102"/>
    </row>
    <row r="13" spans="1:27" s="52" customFormat="1" ht="16.5" x14ac:dyDescent="0.25">
      <c r="A13" s="62" t="s">
        <v>33</v>
      </c>
      <c r="B13" s="68">
        <f>SUM(B8:B12)</f>
        <v>263.221</v>
      </c>
      <c r="C13" s="68">
        <f>SUM(C8:C12)</f>
        <v>270.57299999999998</v>
      </c>
      <c r="D13" s="60"/>
      <c r="E13" s="68">
        <f>SUM(E8:E12)</f>
        <v>67.762999999999991</v>
      </c>
      <c r="F13" s="68">
        <f>SUM(F8:F12)</f>
        <v>69.388999999999996</v>
      </c>
      <c r="G13" s="68">
        <f>SUM(G8:G12)</f>
        <v>68.182299999999998</v>
      </c>
      <c r="H13" s="68">
        <f>SUM(H8:H12)</f>
        <v>69.844999999999999</v>
      </c>
      <c r="I13" s="60"/>
      <c r="J13" s="68">
        <f>SUM(J8:J12)</f>
        <v>275.19200000000001</v>
      </c>
      <c r="K13" s="60"/>
      <c r="L13" s="68">
        <f>SUM(L8:L12)</f>
        <v>74.888000000000005</v>
      </c>
      <c r="M13" s="68">
        <f>SUM(M8:M12)</f>
        <v>76.454999999999998</v>
      </c>
      <c r="N13" s="68">
        <f>SUM(N8:N12)</f>
        <v>74.498000000000005</v>
      </c>
      <c r="O13" s="68">
        <f>SUM(O8:O12)</f>
        <v>74.187000000000012</v>
      </c>
      <c r="P13" s="60"/>
      <c r="Q13" s="68">
        <f>SUM(Q8:Q12)</f>
        <v>300.03099999999995</v>
      </c>
      <c r="R13" s="102"/>
      <c r="S13" s="68">
        <f>SUM(S8:S12)</f>
        <v>69.605000000000004</v>
      </c>
      <c r="T13" s="68">
        <f>SUM(T8:T12)</f>
        <v>66.388999999999996</v>
      </c>
      <c r="U13" s="68">
        <f>SUM(U8:U12)</f>
        <v>72.503</v>
      </c>
      <c r="V13" s="68">
        <f>SUM(V8:V12)</f>
        <v>75.472000000000008</v>
      </c>
      <c r="X13" s="68">
        <f>SUM(X8:X12)</f>
        <v>283.96899999999999</v>
      </c>
      <c r="Y13" s="102"/>
      <c r="Z13" s="102"/>
      <c r="AA13" s="102"/>
    </row>
    <row r="14" spans="1:27" s="52" customFormat="1" ht="16.5" x14ac:dyDescent="0.25">
      <c r="B14" s="103"/>
      <c r="C14" s="103"/>
      <c r="D14" s="60"/>
      <c r="E14" s="103"/>
      <c r="F14" s="103"/>
      <c r="G14" s="103"/>
      <c r="H14" s="103"/>
      <c r="I14" s="60"/>
      <c r="J14" s="103"/>
      <c r="K14" s="60"/>
      <c r="L14" s="103"/>
      <c r="M14" s="103"/>
      <c r="N14" s="103"/>
      <c r="O14" s="103"/>
      <c r="P14" s="60"/>
      <c r="Q14" s="103"/>
      <c r="R14" s="102"/>
      <c r="S14" s="103"/>
      <c r="T14" s="103"/>
      <c r="U14" s="103"/>
      <c r="V14" s="103"/>
      <c r="X14" s="103"/>
      <c r="Y14" s="102"/>
      <c r="Z14" s="102"/>
      <c r="AA14" s="102"/>
    </row>
    <row r="15" spans="1:27" s="52" customFormat="1" ht="16.5" x14ac:dyDescent="0.25">
      <c r="A15" s="62" t="s">
        <v>8</v>
      </c>
      <c r="B15" s="89">
        <f>+B6-B13</f>
        <v>442.67600000000004</v>
      </c>
      <c r="C15" s="89">
        <f>+C6-C13</f>
        <v>469.52699999999993</v>
      </c>
      <c r="D15" s="60"/>
      <c r="E15" s="89">
        <f>+E6-E13</f>
        <v>118.693</v>
      </c>
      <c r="F15" s="89">
        <f>+F6-F13</f>
        <v>131.41800000000001</v>
      </c>
      <c r="G15" s="89">
        <f>+G6-G13</f>
        <v>129.28470000000002</v>
      </c>
      <c r="H15" s="89">
        <f>+H6-H13</f>
        <v>141.655</v>
      </c>
      <c r="I15" s="60"/>
      <c r="J15" s="89">
        <f>+J6-J13</f>
        <v>521.09500000000003</v>
      </c>
      <c r="K15" s="60"/>
      <c r="L15" s="89">
        <f>+L6-L13</f>
        <v>132.20699999999999</v>
      </c>
      <c r="M15" s="89">
        <f>+M6-M13</f>
        <v>134.98099999999999</v>
      </c>
      <c r="N15" s="89">
        <f>+N6-N13</f>
        <v>143.43799999999999</v>
      </c>
      <c r="O15" s="89">
        <f>+O6-O13</f>
        <v>135.87099999999998</v>
      </c>
      <c r="P15" s="60"/>
      <c r="Q15" s="89">
        <f>+Q6-Q13</f>
        <v>546.49400000000003</v>
      </c>
      <c r="R15" s="102"/>
      <c r="S15" s="89">
        <f>+S6-S13</f>
        <v>116.26</v>
      </c>
      <c r="T15" s="89">
        <f>+T6-T13</f>
        <v>137.69100000000003</v>
      </c>
      <c r="U15" s="89">
        <f>+U6-U13</f>
        <v>142.71899999999999</v>
      </c>
      <c r="V15" s="89">
        <f>+V6-V13</f>
        <v>149.60799999999998</v>
      </c>
      <c r="X15" s="89">
        <f>+X6-X13</f>
        <v>546.27800000000002</v>
      </c>
      <c r="Y15" s="102"/>
      <c r="Z15" s="102"/>
      <c r="AA15" s="102"/>
    </row>
    <row r="16" spans="1:27" s="52" customFormat="1" ht="16.5" x14ac:dyDescent="0.25">
      <c r="A16" s="62" t="s">
        <v>9</v>
      </c>
      <c r="B16" s="107">
        <v>0.627</v>
      </c>
      <c r="C16" s="107">
        <v>0.63437373327928659</v>
      </c>
      <c r="D16" s="67"/>
      <c r="E16" s="107">
        <v>0.63746112600536198</v>
      </c>
      <c r="F16" s="107">
        <v>0.654382470119522</v>
      </c>
      <c r="G16" s="107">
        <v>0.65468354430379749</v>
      </c>
      <c r="H16" s="107">
        <v>0.66997635933806154</v>
      </c>
      <c r="I16" s="67"/>
      <c r="J16" s="107">
        <v>0.65440160743438391</v>
      </c>
      <c r="K16" s="67"/>
      <c r="L16" s="107">
        <v>0.63833896668276191</v>
      </c>
      <c r="M16" s="107">
        <v>0.63759981078524119</v>
      </c>
      <c r="N16" s="107">
        <v>0.65800000000000003</v>
      </c>
      <c r="O16" s="107">
        <v>0.64700000000000002</v>
      </c>
      <c r="P16" s="67"/>
      <c r="Q16" s="107">
        <v>0.64600000000000002</v>
      </c>
      <c r="R16" s="102"/>
      <c r="S16" s="107">
        <v>0.626</v>
      </c>
      <c r="T16" s="107">
        <v>0.67500000000000004</v>
      </c>
      <c r="U16" s="107">
        <v>0.66300000000000003</v>
      </c>
      <c r="V16" s="107">
        <v>0.66500000000000004</v>
      </c>
      <c r="X16" s="107">
        <v>0.65800000000000003</v>
      </c>
      <c r="Y16" s="102"/>
      <c r="Z16" s="102"/>
      <c r="AA16" s="102"/>
    </row>
    <row r="17" spans="1:27" s="52" customFormat="1" ht="16.5" x14ac:dyDescent="0.25">
      <c r="A17" s="52" t="s">
        <v>42</v>
      </c>
      <c r="B17" s="108">
        <v>10.266</v>
      </c>
      <c r="C17" s="108">
        <v>14.9</v>
      </c>
      <c r="D17" s="67"/>
      <c r="E17" s="108">
        <v>2.7</v>
      </c>
      <c r="F17" s="108">
        <v>2.2000000000000002</v>
      </c>
      <c r="G17" s="108">
        <v>4</v>
      </c>
      <c r="H17" s="108">
        <v>6.3</v>
      </c>
      <c r="I17" s="67"/>
      <c r="J17" s="108">
        <v>15</v>
      </c>
      <c r="K17" s="67"/>
      <c r="L17" s="108">
        <v>8.8000000000000007</v>
      </c>
      <c r="M17" s="108">
        <v>7</v>
      </c>
      <c r="N17" s="108">
        <v>6.2130000000000001</v>
      </c>
      <c r="O17" s="108">
        <v>4.702</v>
      </c>
      <c r="P17" s="67"/>
      <c r="Q17" s="108">
        <v>26.675000000000001</v>
      </c>
      <c r="R17" s="102"/>
      <c r="S17" s="108">
        <f>+'CES Revenue Metrics'!S20</f>
        <v>3.2620000000000076</v>
      </c>
      <c r="T17" s="108">
        <f>+'CES Revenue Metrics'!T20</f>
        <v>3.0660000000000025</v>
      </c>
      <c r="U17" s="108">
        <f>+'CES Revenue Metrics'!U20</f>
        <v>2.2270000000000039</v>
      </c>
      <c r="V17" s="108">
        <f>+'CES Revenue Metrics'!V20</f>
        <v>1.7810000000000059</v>
      </c>
      <c r="X17" s="108">
        <f t="shared" ref="X17:X23" si="0">+S17+T17+U17+V17</f>
        <v>10.33600000000002</v>
      </c>
      <c r="Y17" s="102"/>
      <c r="Z17" s="102"/>
      <c r="AA17" s="102"/>
    </row>
    <row r="18" spans="1:27" s="52" customFormat="1" ht="16.5" x14ac:dyDescent="0.25">
      <c r="A18" s="52" t="s">
        <v>27</v>
      </c>
      <c r="B18" s="103">
        <f>+B10</f>
        <v>21.166</v>
      </c>
      <c r="C18" s="103">
        <v>22.2</v>
      </c>
      <c r="D18" s="60"/>
      <c r="E18" s="103">
        <v>4.3</v>
      </c>
      <c r="F18" s="103">
        <v>4.0999999999999996</v>
      </c>
      <c r="G18" s="103">
        <v>4.5</v>
      </c>
      <c r="H18" s="103">
        <v>5</v>
      </c>
      <c r="I18" s="60"/>
      <c r="J18" s="103">
        <v>18</v>
      </c>
      <c r="K18" s="60"/>
      <c r="L18" s="103">
        <v>5.4</v>
      </c>
      <c r="M18" s="103">
        <v>5.2</v>
      </c>
      <c r="N18" s="103">
        <v>5.6050000000000004</v>
      </c>
      <c r="O18" s="103">
        <v>5.3609999999999998</v>
      </c>
      <c r="P18" s="60"/>
      <c r="Q18" s="103">
        <v>21.577999999999999</v>
      </c>
      <c r="R18" s="102"/>
      <c r="S18" s="103">
        <f t="shared" ref="S18:U19" si="1">S10</f>
        <v>4.3559999999999999</v>
      </c>
      <c r="T18" s="103">
        <f t="shared" si="1"/>
        <v>4.1890000000000001</v>
      </c>
      <c r="U18" s="103">
        <f t="shared" si="1"/>
        <v>4.0449999999999999</v>
      </c>
      <c r="V18" s="103">
        <f t="shared" ref="V18" si="2">V10</f>
        <v>5.3730000000000002</v>
      </c>
      <c r="X18" s="103">
        <f t="shared" si="0"/>
        <v>17.963000000000001</v>
      </c>
      <c r="Y18" s="102"/>
      <c r="Z18" s="102"/>
      <c r="AA18" s="102"/>
    </row>
    <row r="19" spans="1:27" s="52" customFormat="1" ht="16.5" x14ac:dyDescent="0.25">
      <c r="A19" s="52" t="s">
        <v>122</v>
      </c>
      <c r="B19" s="103">
        <f>+B11</f>
        <v>7.0759999999999996</v>
      </c>
      <c r="C19" s="103">
        <v>6.9</v>
      </c>
      <c r="D19" s="60"/>
      <c r="E19" s="103">
        <v>0.6</v>
      </c>
      <c r="F19" s="103">
        <v>1.6</v>
      </c>
      <c r="G19" s="103">
        <v>1.1000000000000001</v>
      </c>
      <c r="H19" s="103">
        <v>1.1000000000000001</v>
      </c>
      <c r="I19" s="60"/>
      <c r="J19" s="103">
        <v>4.4000000000000004</v>
      </c>
      <c r="K19" s="60"/>
      <c r="L19" s="103">
        <v>1.1000000000000001</v>
      </c>
      <c r="M19" s="103">
        <v>1.6</v>
      </c>
      <c r="N19" s="103">
        <v>1.363</v>
      </c>
      <c r="O19" s="103">
        <v>2.3010000000000002</v>
      </c>
      <c r="P19" s="60"/>
      <c r="Q19" s="103">
        <v>6.3179999999999996</v>
      </c>
      <c r="R19" s="102"/>
      <c r="S19" s="103">
        <f t="shared" si="1"/>
        <v>0.748</v>
      </c>
      <c r="T19" s="103">
        <f t="shared" si="1"/>
        <v>1.3460000000000001</v>
      </c>
      <c r="U19" s="103">
        <f t="shared" si="1"/>
        <v>1.7949999999999999</v>
      </c>
      <c r="V19" s="103">
        <f t="shared" ref="V19" si="3">V11</f>
        <v>0.27</v>
      </c>
      <c r="X19" s="103">
        <f t="shared" si="0"/>
        <v>4.1590000000000007</v>
      </c>
      <c r="Y19" s="102"/>
      <c r="Z19" s="102"/>
      <c r="AA19" s="102"/>
    </row>
    <row r="20" spans="1:27" s="52" customFormat="1" ht="16.5" x14ac:dyDescent="0.25">
      <c r="A20" s="52" t="s">
        <v>123</v>
      </c>
      <c r="B20" s="108">
        <v>0</v>
      </c>
      <c r="C20" s="108">
        <v>0.1</v>
      </c>
      <c r="D20" s="60"/>
      <c r="E20" s="108">
        <v>0</v>
      </c>
      <c r="F20" s="108">
        <v>0</v>
      </c>
      <c r="G20" s="108">
        <v>0</v>
      </c>
      <c r="H20" s="108">
        <v>0.2</v>
      </c>
      <c r="I20" s="60"/>
      <c r="J20" s="108">
        <v>0.30000000000000004</v>
      </c>
      <c r="K20" s="60"/>
      <c r="L20" s="108">
        <v>0</v>
      </c>
      <c r="M20" s="108">
        <v>0</v>
      </c>
      <c r="N20" s="108">
        <v>2.9000000000000001E-2</v>
      </c>
      <c r="O20" s="108">
        <v>3.7999999999999999E-2</v>
      </c>
      <c r="P20" s="60"/>
      <c r="Q20" s="108">
        <v>8.1000000000000003E-2</v>
      </c>
      <c r="R20" s="102"/>
      <c r="S20" s="108">
        <v>0.124</v>
      </c>
      <c r="T20" s="108">
        <v>3.4000000000000002E-2</v>
      </c>
      <c r="U20" s="108">
        <v>0.06</v>
      </c>
      <c r="V20" s="108">
        <v>1.2E-2</v>
      </c>
      <c r="X20" s="108">
        <f t="shared" si="0"/>
        <v>0.23</v>
      </c>
      <c r="Y20" s="102"/>
      <c r="Z20" s="102"/>
      <c r="AA20" s="102"/>
    </row>
    <row r="21" spans="1:27" s="52" customFormat="1" ht="16.5" x14ac:dyDescent="0.25">
      <c r="A21" s="52" t="s">
        <v>124</v>
      </c>
      <c r="B21" s="121">
        <v>1.5289999999999999</v>
      </c>
      <c r="C21" s="121">
        <v>1.5</v>
      </c>
      <c r="D21" s="60"/>
      <c r="E21" s="121">
        <v>0.3</v>
      </c>
      <c r="F21" s="121">
        <v>0.4</v>
      </c>
      <c r="G21" s="121">
        <v>0.1</v>
      </c>
      <c r="H21" s="121">
        <v>0.2</v>
      </c>
      <c r="I21" s="60"/>
      <c r="J21" s="121">
        <v>1</v>
      </c>
      <c r="K21" s="60"/>
      <c r="L21" s="121">
        <v>0.3</v>
      </c>
      <c r="M21" s="121">
        <v>0.7</v>
      </c>
      <c r="N21" s="121">
        <v>0.42899999999999999</v>
      </c>
      <c r="O21" s="121">
        <v>0.23499999999999999</v>
      </c>
      <c r="P21" s="60"/>
      <c r="Q21" s="121">
        <v>1.6439999999999999</v>
      </c>
      <c r="R21" s="297"/>
      <c r="S21" s="121">
        <v>1.0569999999999999</v>
      </c>
      <c r="T21" s="121">
        <v>-3.9E-2</v>
      </c>
      <c r="U21" s="121">
        <v>0.13200000000000001</v>
      </c>
      <c r="V21" s="121">
        <v>0.28199999999999997</v>
      </c>
      <c r="W21" s="47"/>
      <c r="X21" s="121">
        <f t="shared" si="0"/>
        <v>1.4319999999999999</v>
      </c>
      <c r="Y21" s="102"/>
      <c r="Z21" s="102"/>
      <c r="AA21" s="102"/>
    </row>
    <row r="22" spans="1:27" s="52" customFormat="1" ht="16.5" x14ac:dyDescent="0.25">
      <c r="A22" s="52" t="s">
        <v>339</v>
      </c>
      <c r="B22" s="121">
        <v>0</v>
      </c>
      <c r="C22" s="121">
        <v>0</v>
      </c>
      <c r="D22" s="60"/>
      <c r="E22" s="121">
        <v>0</v>
      </c>
      <c r="F22" s="121">
        <v>0</v>
      </c>
      <c r="G22" s="121">
        <v>0</v>
      </c>
      <c r="H22" s="121">
        <v>0</v>
      </c>
      <c r="I22" s="60"/>
      <c r="J22" s="121">
        <v>0</v>
      </c>
      <c r="K22" s="60"/>
      <c r="L22" s="121">
        <v>0</v>
      </c>
      <c r="M22" s="121">
        <v>0</v>
      </c>
      <c r="N22" s="121">
        <v>0</v>
      </c>
      <c r="O22" s="121">
        <v>0</v>
      </c>
      <c r="P22" s="60"/>
      <c r="Q22" s="121">
        <v>0</v>
      </c>
      <c r="R22" s="102"/>
      <c r="S22" s="121">
        <v>0</v>
      </c>
      <c r="T22" s="121">
        <v>0</v>
      </c>
      <c r="U22" s="121">
        <v>5.0999999999999997E-2</v>
      </c>
      <c r="V22" s="121">
        <v>3.3000000000000002E-2</v>
      </c>
      <c r="X22" s="121">
        <f t="shared" si="0"/>
        <v>8.3999999999999991E-2</v>
      </c>
      <c r="Y22" s="102"/>
      <c r="Z22" s="102"/>
      <c r="AA22" s="102"/>
    </row>
    <row r="23" spans="1:27" s="52" customFormat="1" ht="16.5" x14ac:dyDescent="0.25">
      <c r="A23" s="52" t="s">
        <v>340</v>
      </c>
      <c r="B23" s="104">
        <v>0</v>
      </c>
      <c r="C23" s="104">
        <v>0</v>
      </c>
      <c r="D23" s="60"/>
      <c r="E23" s="104">
        <v>0</v>
      </c>
      <c r="F23" s="104">
        <v>0</v>
      </c>
      <c r="G23" s="104">
        <v>0</v>
      </c>
      <c r="H23" s="104">
        <v>0</v>
      </c>
      <c r="I23" s="60"/>
      <c r="J23" s="104">
        <v>0</v>
      </c>
      <c r="K23" s="60"/>
      <c r="L23" s="104">
        <v>0</v>
      </c>
      <c r="M23" s="104">
        <v>0</v>
      </c>
      <c r="N23" s="104">
        <v>0</v>
      </c>
      <c r="O23" s="104">
        <v>0</v>
      </c>
      <c r="P23" s="60"/>
      <c r="Q23" s="104">
        <v>0</v>
      </c>
      <c r="R23" s="102"/>
      <c r="S23" s="104">
        <v>0</v>
      </c>
      <c r="T23" s="104">
        <v>0</v>
      </c>
      <c r="U23" s="104">
        <v>9.5000000000000001E-2</v>
      </c>
      <c r="V23" s="104">
        <v>0.23300000000000001</v>
      </c>
      <c r="X23" s="104">
        <f t="shared" si="0"/>
        <v>0.32800000000000001</v>
      </c>
      <c r="Y23" s="102"/>
      <c r="Z23" s="102"/>
      <c r="AA23" s="102"/>
    </row>
    <row r="24" spans="1:27" s="52" customFormat="1" ht="16.5" x14ac:dyDescent="0.25">
      <c r="A24" s="62" t="s">
        <v>226</v>
      </c>
      <c r="B24" s="68">
        <f>SUM(B17:B23)+B15</f>
        <v>482.71300000000008</v>
      </c>
      <c r="C24" s="68">
        <f>SUM(C17:C23)+C15</f>
        <v>515.12699999999995</v>
      </c>
      <c r="D24" s="67"/>
      <c r="E24" s="68">
        <f>SUM(E17:E23)+E15</f>
        <v>126.593</v>
      </c>
      <c r="F24" s="68">
        <f>SUM(F17:F23)+F15</f>
        <v>139.71800000000002</v>
      </c>
      <c r="G24" s="68">
        <f>SUM(G17:G23)+G15</f>
        <v>138.9847</v>
      </c>
      <c r="H24" s="68">
        <f>SUM(H17:H23)+H15</f>
        <v>154.45500000000001</v>
      </c>
      <c r="I24" s="67"/>
      <c r="J24" s="68">
        <f>SUM(J17:J23)+J15</f>
        <v>559.79500000000007</v>
      </c>
      <c r="K24" s="67"/>
      <c r="L24" s="68">
        <f>SUM(L17:L23)+L15</f>
        <v>147.80699999999999</v>
      </c>
      <c r="M24" s="68">
        <f>SUM(M17:M23)+M15</f>
        <v>149.48099999999999</v>
      </c>
      <c r="N24" s="68">
        <f>SUM(N17:N23)+N15</f>
        <v>157.077</v>
      </c>
      <c r="O24" s="68">
        <f>SUM(O17:O23)+O15</f>
        <v>148.50799999999998</v>
      </c>
      <c r="P24" s="67"/>
      <c r="Q24" s="68">
        <f>SUM(Q17:Q23)+Q15</f>
        <v>602.79000000000008</v>
      </c>
      <c r="R24" s="102"/>
      <c r="S24" s="68">
        <f>SUM(S17:S23)+S15</f>
        <v>125.80700000000002</v>
      </c>
      <c r="T24" s="68">
        <f>SUM(T17:T23)+T15</f>
        <v>146.28700000000003</v>
      </c>
      <c r="U24" s="68">
        <f>SUM(U17:U23)+U15</f>
        <v>151.124</v>
      </c>
      <c r="V24" s="68">
        <f>SUM(V17:V23)+V15</f>
        <v>157.59199999999998</v>
      </c>
      <c r="X24" s="68">
        <f>SUM(X17:X23)+X15</f>
        <v>580.81000000000006</v>
      </c>
      <c r="Y24" s="102"/>
      <c r="Z24" s="102"/>
      <c r="AA24" s="102"/>
    </row>
    <row r="25" spans="1:27" s="52" customFormat="1" ht="16.5" x14ac:dyDescent="0.25">
      <c r="A25" s="62" t="s">
        <v>225</v>
      </c>
      <c r="B25" s="109">
        <v>0.67400000000000004</v>
      </c>
      <c r="C25" s="109">
        <v>0.68225165562913903</v>
      </c>
      <c r="D25" s="47"/>
      <c r="E25" s="109">
        <v>0.66913319238900648</v>
      </c>
      <c r="F25" s="109">
        <v>0.688177339901478</v>
      </c>
      <c r="G25" s="109">
        <v>0.6898263027295285</v>
      </c>
      <c r="H25" s="109">
        <v>0.70936639118457312</v>
      </c>
      <c r="I25" s="47"/>
      <c r="J25" s="109">
        <v>0.69000369776901271</v>
      </c>
      <c r="K25" s="47"/>
      <c r="L25" s="109">
        <v>0.68357619268179703</v>
      </c>
      <c r="M25" s="109">
        <v>0.68352380952380953</v>
      </c>
      <c r="N25" s="109">
        <v>0.70099999999999996</v>
      </c>
      <c r="O25" s="109">
        <v>0.69199999999999995</v>
      </c>
      <c r="P25" s="47"/>
      <c r="Q25" s="109">
        <v>0.69</v>
      </c>
      <c r="R25" s="102"/>
      <c r="S25" s="109">
        <v>0.66500000000000004</v>
      </c>
      <c r="T25" s="109">
        <v>0.70599999999999996</v>
      </c>
      <c r="U25" s="109">
        <v>0.69499999999999995</v>
      </c>
      <c r="V25" s="109">
        <v>0.69499999999999995</v>
      </c>
      <c r="X25" s="109">
        <v>0.69099999999999995</v>
      </c>
      <c r="Y25" s="102"/>
      <c r="Z25" s="102"/>
      <c r="AA25" s="102"/>
    </row>
    <row r="26" spans="1:27" ht="16.5" x14ac:dyDescent="0.25">
      <c r="D26" s="47"/>
      <c r="I26" s="47"/>
      <c r="K26" s="47"/>
      <c r="P26" s="47"/>
    </row>
    <row r="27" spans="1:27" ht="16.5" x14ac:dyDescent="0.25">
      <c r="D27" s="47"/>
      <c r="I27" s="47"/>
      <c r="K27" s="47"/>
      <c r="P27" s="47"/>
    </row>
    <row r="28" spans="1:27" ht="16.5" x14ac:dyDescent="0.25">
      <c r="D28" s="52"/>
      <c r="I28" s="52"/>
      <c r="K28" s="52"/>
      <c r="P28" s="52"/>
    </row>
    <row r="29" spans="1:27" ht="16.5" x14ac:dyDescent="0.25">
      <c r="D29" s="52"/>
      <c r="I29" s="52"/>
      <c r="K29" s="52"/>
      <c r="P29" s="52"/>
    </row>
    <row r="30" spans="1:27" ht="16.5" x14ac:dyDescent="0.25">
      <c r="D30" s="52"/>
      <c r="I30" s="52"/>
      <c r="K30" s="52"/>
      <c r="P30" s="52"/>
    </row>
    <row r="31" spans="1:27" ht="16.5" x14ac:dyDescent="0.25">
      <c r="D31" s="52"/>
      <c r="I31" s="52"/>
      <c r="K31" s="52"/>
      <c r="P31" s="52"/>
    </row>
  </sheetData>
  <mergeCells count="3">
    <mergeCell ref="E3:H3"/>
    <mergeCell ref="L3:O3"/>
    <mergeCell ref="S3:V3"/>
  </mergeCells>
  <pageMargins left="0.25" right="0.25" top="0.75" bottom="0.75" header="0.3" footer="0.3"/>
  <pageSetup scale="4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00FF"/>
    <pageSetUpPr fitToPage="1"/>
  </sheetPr>
  <dimension ref="A1:AU25"/>
  <sheetViews>
    <sheetView zoomScale="65" zoomScaleNormal="65" zoomScaleSheetLayoutView="80" workbookViewId="0">
      <pane xSplit="2" ySplit="5" topLeftCell="C6" activePane="bottomRight" state="frozen"/>
      <selection activeCell="A30" sqref="A30"/>
      <selection pane="topRight" activeCell="A30" sqref="A30"/>
      <selection pane="bottomLeft" activeCell="A30" sqref="A30"/>
      <selection pane="bottomRight" activeCell="C6" sqref="C6"/>
    </sheetView>
  </sheetViews>
  <sheetFormatPr defaultColWidth="9.140625" defaultRowHeight="15" outlineLevelRow="1" outlineLevelCol="2" x14ac:dyDescent="0.25"/>
  <cols>
    <col min="1" max="1" width="15.28515625" style="25" customWidth="1"/>
    <col min="2" max="2" width="65" style="25" customWidth="1"/>
    <col min="3" max="3" width="1.7109375" style="24" customWidth="1"/>
    <col min="4" max="5" width="15.7109375" style="24" customWidth="1" outlineLevel="1"/>
    <col min="6" max="6" width="1.7109375" style="24" customWidth="1" outlineLevel="1"/>
    <col min="7" max="8" width="15.7109375" style="24" customWidth="1" outlineLevel="1"/>
    <col min="9" max="9" width="1.7109375" style="24" customWidth="1" outlineLevel="1"/>
    <col min="10" max="17" width="15.7109375" style="24" hidden="1" customWidth="1" outlineLevel="2"/>
    <col min="18" max="18" width="1.7109375" style="24" customWidth="1" outlineLevel="1" collapsed="1"/>
    <col min="19" max="20" width="15.7109375" style="24" customWidth="1" outlineLevel="1"/>
    <col min="21" max="21" width="1.7109375" style="24" customWidth="1" outlineLevel="1"/>
    <col min="22" max="29" width="15.7109375" style="24" customWidth="1"/>
    <col min="30" max="30" width="1.7109375" style="24" customWidth="1"/>
    <col min="31" max="32" width="15.7109375" style="24" customWidth="1"/>
    <col min="33" max="33" width="1.7109375" style="24" customWidth="1"/>
    <col min="34" max="41" width="15.7109375" style="24" customWidth="1"/>
    <col min="42" max="42" width="1.7109375" style="24" customWidth="1"/>
    <col min="43" max="44" width="15.7109375" style="24" customWidth="1"/>
    <col min="45" max="46" width="1.7109375" style="24" customWidth="1"/>
    <col min="47" max="47" width="51.28515625" style="24" bestFit="1" customWidth="1"/>
    <col min="48" max="48" width="20.85546875" style="24" customWidth="1"/>
    <col min="49" max="16384" width="9.140625" style="24"/>
  </cols>
  <sheetData>
    <row r="1" spans="1:47" ht="18" x14ac:dyDescent="0.25">
      <c r="A1" s="198" t="s">
        <v>171</v>
      </c>
    </row>
    <row r="2" spans="1:47" s="3" customFormat="1" ht="12" thickBot="1" x14ac:dyDescent="0.25">
      <c r="A2" s="11"/>
      <c r="B2" s="11"/>
      <c r="C2" s="12"/>
      <c r="E2" s="13"/>
      <c r="F2" s="13"/>
      <c r="G2" s="13"/>
      <c r="H2" s="13"/>
      <c r="J2" s="13"/>
      <c r="L2" s="13"/>
      <c r="M2" s="13"/>
      <c r="N2" s="13"/>
      <c r="P2" s="13"/>
      <c r="Q2" s="13"/>
      <c r="R2" s="13"/>
      <c r="S2" s="13"/>
      <c r="U2" s="13"/>
      <c r="V2" s="13"/>
      <c r="W2" s="13"/>
      <c r="X2" s="13"/>
    </row>
    <row r="3" spans="1:47" ht="19.5" customHeight="1" x14ac:dyDescent="0.2">
      <c r="A3" s="346" t="s">
        <v>84</v>
      </c>
      <c r="B3" s="347"/>
      <c r="D3" s="335" t="s">
        <v>99</v>
      </c>
      <c r="E3" s="336"/>
      <c r="G3" s="335" t="s">
        <v>99</v>
      </c>
      <c r="H3" s="336"/>
      <c r="J3" s="339" t="s">
        <v>1</v>
      </c>
      <c r="K3" s="340"/>
      <c r="L3" s="340"/>
      <c r="M3" s="340"/>
      <c r="N3" s="340"/>
      <c r="O3" s="340"/>
      <c r="P3" s="340"/>
      <c r="Q3" s="341"/>
      <c r="S3" s="335" t="s">
        <v>99</v>
      </c>
      <c r="T3" s="336"/>
      <c r="V3" s="339" t="s">
        <v>1</v>
      </c>
      <c r="W3" s="340"/>
      <c r="X3" s="340"/>
      <c r="Y3" s="340"/>
      <c r="Z3" s="340"/>
      <c r="AA3" s="340"/>
      <c r="AB3" s="340"/>
      <c r="AC3" s="341"/>
      <c r="AE3" s="335" t="s">
        <v>99</v>
      </c>
      <c r="AF3" s="336"/>
      <c r="AH3" s="339" t="s">
        <v>328</v>
      </c>
      <c r="AI3" s="340"/>
      <c r="AJ3" s="340"/>
      <c r="AK3" s="340"/>
      <c r="AL3" s="340"/>
      <c r="AM3" s="340"/>
      <c r="AN3" s="340"/>
      <c r="AO3" s="341"/>
      <c r="AQ3" s="335" t="s">
        <v>99</v>
      </c>
      <c r="AR3" s="336"/>
      <c r="AU3" s="332" t="s">
        <v>85</v>
      </c>
    </row>
    <row r="4" spans="1:47" ht="15.75" customHeight="1" thickBot="1" x14ac:dyDescent="0.25">
      <c r="A4" s="344"/>
      <c r="B4" s="345"/>
      <c r="D4" s="337">
        <v>42766</v>
      </c>
      <c r="E4" s="338"/>
      <c r="G4" s="337">
        <v>43131</v>
      </c>
      <c r="H4" s="338"/>
      <c r="J4" s="342">
        <v>43220</v>
      </c>
      <c r="K4" s="343"/>
      <c r="L4" s="324">
        <v>43312</v>
      </c>
      <c r="M4" s="343"/>
      <c r="N4" s="324">
        <v>43404</v>
      </c>
      <c r="O4" s="343"/>
      <c r="P4" s="324">
        <v>43496</v>
      </c>
      <c r="Q4" s="325"/>
      <c r="S4" s="337" t="s">
        <v>100</v>
      </c>
      <c r="T4" s="338"/>
      <c r="V4" s="342">
        <v>43585</v>
      </c>
      <c r="W4" s="343"/>
      <c r="X4" s="324">
        <v>43677</v>
      </c>
      <c r="Y4" s="325"/>
      <c r="Z4" s="324">
        <v>43769</v>
      </c>
      <c r="AA4" s="325"/>
      <c r="AB4" s="324">
        <v>43861</v>
      </c>
      <c r="AC4" s="325"/>
      <c r="AE4" s="337">
        <v>43861</v>
      </c>
      <c r="AF4" s="338"/>
      <c r="AH4" s="324">
        <v>43951</v>
      </c>
      <c r="AI4" s="325"/>
      <c r="AJ4" s="324">
        <v>44043</v>
      </c>
      <c r="AK4" s="325"/>
      <c r="AL4" s="324">
        <v>44135</v>
      </c>
      <c r="AM4" s="325"/>
      <c r="AN4" s="324">
        <v>44227</v>
      </c>
      <c r="AO4" s="325"/>
      <c r="AQ4" s="337">
        <v>44227</v>
      </c>
      <c r="AR4" s="338"/>
      <c r="AU4" s="333"/>
    </row>
    <row r="5" spans="1:47" ht="16.5" customHeight="1" thickBot="1" x14ac:dyDescent="0.25">
      <c r="A5" s="344" t="s">
        <v>0</v>
      </c>
      <c r="B5" s="345"/>
      <c r="D5" s="40" t="s">
        <v>86</v>
      </c>
      <c r="E5" s="40" t="s">
        <v>87</v>
      </c>
      <c r="G5" s="40" t="s">
        <v>86</v>
      </c>
      <c r="H5" s="40" t="s">
        <v>87</v>
      </c>
      <c r="J5" s="41" t="s">
        <v>86</v>
      </c>
      <c r="K5" s="42" t="s">
        <v>87</v>
      </c>
      <c r="L5" s="42" t="s">
        <v>86</v>
      </c>
      <c r="M5" s="42" t="s">
        <v>87</v>
      </c>
      <c r="N5" s="42" t="s">
        <v>86</v>
      </c>
      <c r="O5" s="42" t="s">
        <v>87</v>
      </c>
      <c r="P5" s="42" t="s">
        <v>86</v>
      </c>
      <c r="Q5" s="43" t="s">
        <v>87</v>
      </c>
      <c r="S5" s="40" t="s">
        <v>86</v>
      </c>
      <c r="T5" s="40" t="s">
        <v>87</v>
      </c>
      <c r="V5" s="44" t="s">
        <v>86</v>
      </c>
      <c r="W5" s="44" t="s">
        <v>87</v>
      </c>
      <c r="X5" s="44" t="s">
        <v>86</v>
      </c>
      <c r="Y5" s="44" t="s">
        <v>87</v>
      </c>
      <c r="Z5" s="42" t="s">
        <v>86</v>
      </c>
      <c r="AA5" s="43" t="s">
        <v>87</v>
      </c>
      <c r="AB5" s="42" t="s">
        <v>86</v>
      </c>
      <c r="AC5" s="43" t="s">
        <v>87</v>
      </c>
      <c r="AE5" s="40" t="s">
        <v>86</v>
      </c>
      <c r="AF5" s="40" t="s">
        <v>87</v>
      </c>
      <c r="AH5" s="42" t="s">
        <v>86</v>
      </c>
      <c r="AI5" s="43" t="s">
        <v>87</v>
      </c>
      <c r="AJ5" s="42" t="s">
        <v>86</v>
      </c>
      <c r="AK5" s="43" t="s">
        <v>87</v>
      </c>
      <c r="AL5" s="42" t="s">
        <v>86</v>
      </c>
      <c r="AM5" s="43" t="s">
        <v>87</v>
      </c>
      <c r="AN5" s="42" t="s">
        <v>86</v>
      </c>
      <c r="AO5" s="43" t="s">
        <v>87</v>
      </c>
      <c r="AQ5" s="40" t="s">
        <v>86</v>
      </c>
      <c r="AR5" s="40" t="s">
        <v>87</v>
      </c>
      <c r="AU5" s="334"/>
    </row>
    <row r="6" spans="1:47" ht="63.75" customHeight="1" thickBot="1" x14ac:dyDescent="0.25">
      <c r="A6" s="266" t="s">
        <v>219</v>
      </c>
      <c r="B6" s="224" t="s">
        <v>218</v>
      </c>
      <c r="D6" s="189">
        <f>+'Consolidated Revenue'!B8</f>
        <v>1062.0999999999999</v>
      </c>
      <c r="E6" s="190">
        <f>+'Consolidated Revenue'!B18</f>
        <v>1072.6999999999998</v>
      </c>
      <c r="G6" s="189">
        <f>+'Consolidated Revenue'!C8</f>
        <v>1135.2</v>
      </c>
      <c r="H6" s="190">
        <f>+'Consolidated Revenue'!C18</f>
        <v>1150.5</v>
      </c>
      <c r="J6" s="189">
        <f>+'Consolidated Revenue'!E8</f>
        <v>289.2</v>
      </c>
      <c r="K6" s="191">
        <f>+'Consolidated Revenue'!E18</f>
        <v>292</v>
      </c>
      <c r="L6" s="191">
        <f>+'Consolidated Revenue'!F8</f>
        <v>306.3</v>
      </c>
      <c r="M6" s="191">
        <f>+'Consolidated Revenue'!F18</f>
        <v>308.5</v>
      </c>
      <c r="N6" s="191">
        <f>+'Consolidated Revenue'!G8</f>
        <v>304</v>
      </c>
      <c r="O6" s="191">
        <f>+'Consolidated Revenue'!G18</f>
        <v>308</v>
      </c>
      <c r="P6" s="191">
        <f>+'Consolidated Revenue'!H8</f>
        <v>330.2</v>
      </c>
      <c r="Q6" s="190">
        <f>+'Consolidated Revenue'!H18</f>
        <v>336.70000000000005</v>
      </c>
      <c r="S6" s="189">
        <f>+'Consolidated Revenue'!J8</f>
        <v>1229.6999999999998</v>
      </c>
      <c r="T6" s="190">
        <f>+'Consolidated Revenue'!J18</f>
        <v>1245.0999999999999</v>
      </c>
      <c r="V6" s="189">
        <f>+'Consolidated Revenue'!L8</f>
        <v>315.3</v>
      </c>
      <c r="W6" s="191">
        <f>+'Consolidated Revenue'!L18</f>
        <v>324.2</v>
      </c>
      <c r="X6" s="191">
        <f>+'Consolidated Revenue'!M8</f>
        <v>324.3</v>
      </c>
      <c r="Y6" s="191">
        <f>+'Consolidated Revenue'!M18</f>
        <v>331.3</v>
      </c>
      <c r="Z6" s="191">
        <f>+'Consolidated Revenue'!N8</f>
        <v>324.86699999999996</v>
      </c>
      <c r="AA6" s="191">
        <f>+'Consolidated Revenue'!N18</f>
        <v>331.08</v>
      </c>
      <c r="AB6" s="191">
        <f>+'Consolidated Revenue'!O8</f>
        <v>339.20299999999997</v>
      </c>
      <c r="AC6" s="191">
        <f>+'Consolidated Revenue'!O18</f>
        <v>349.46199999999999</v>
      </c>
      <c r="AE6" s="191">
        <f>+'Consolidated Revenue'!Q8</f>
        <v>1303.636</v>
      </c>
      <c r="AF6" s="191">
        <f>+'Consolidated Revenue'!Q18</f>
        <v>1336.011</v>
      </c>
      <c r="AH6" s="191">
        <f>+'Consolidated Revenue'!S8</f>
        <v>287.29500000000002</v>
      </c>
      <c r="AI6" s="191">
        <f>+'Consolidated Revenue'!S18</f>
        <v>291.64900000000006</v>
      </c>
      <c r="AJ6" s="191">
        <f>+'Consolidated Revenue'!T8</f>
        <v>309.10900000000004</v>
      </c>
      <c r="AK6" s="191">
        <f>+'Consolidated Revenue'!T18</f>
        <v>313.41300000000001</v>
      </c>
      <c r="AL6" s="191">
        <f>+'Consolidated Revenue'!U8</f>
        <v>328.20099999999996</v>
      </c>
      <c r="AM6" s="191">
        <f>+'Consolidated Revenue'!U18</f>
        <v>331.12</v>
      </c>
      <c r="AN6" s="191">
        <f>+'Consolidated Revenue'!V8</f>
        <v>349.1</v>
      </c>
      <c r="AO6" s="191">
        <f>+'Consolidated Revenue'!V18</f>
        <v>351.428</v>
      </c>
      <c r="AQ6" s="191">
        <f>+'Consolidated Revenue'!X8</f>
        <v>1273.7049999999999</v>
      </c>
      <c r="AR6" s="191">
        <f>+'Consolidated Revenue'!X18</f>
        <v>1287.6099999999999</v>
      </c>
      <c r="AU6" s="197" t="s">
        <v>259</v>
      </c>
    </row>
    <row r="7" spans="1:47" s="193" customFormat="1" ht="20.25" customHeight="1" thickBot="1" x14ac:dyDescent="0.25">
      <c r="A7" s="192"/>
      <c r="B7" s="201"/>
      <c r="D7" s="194"/>
      <c r="E7" s="194"/>
      <c r="G7" s="195"/>
      <c r="H7" s="195"/>
      <c r="J7" s="195"/>
      <c r="K7" s="195"/>
      <c r="L7" s="195"/>
      <c r="M7" s="195"/>
      <c r="N7" s="195"/>
      <c r="O7" s="195"/>
      <c r="P7" s="195"/>
      <c r="Q7" s="195"/>
      <c r="S7" s="195"/>
      <c r="T7" s="195"/>
      <c r="V7" s="195"/>
      <c r="W7" s="195"/>
      <c r="X7" s="195"/>
      <c r="Y7" s="195"/>
      <c r="Z7" s="195"/>
      <c r="AA7" s="195"/>
      <c r="AB7" s="195"/>
      <c r="AC7" s="195"/>
      <c r="AE7" s="195"/>
      <c r="AF7" s="195"/>
      <c r="AH7" s="195"/>
      <c r="AI7" s="195"/>
      <c r="AJ7" s="195"/>
      <c r="AK7" s="195"/>
      <c r="AL7" s="195"/>
      <c r="AM7" s="195"/>
      <c r="AN7" s="195"/>
      <c r="AO7" s="195"/>
      <c r="AQ7" s="195"/>
      <c r="AR7" s="195"/>
      <c r="AU7" s="29"/>
    </row>
    <row r="8" spans="1:47" ht="19.5" customHeight="1" thickBot="1" x14ac:dyDescent="0.25">
      <c r="A8" s="351" t="s">
        <v>210</v>
      </c>
      <c r="B8" s="200" t="s">
        <v>172</v>
      </c>
      <c r="D8" s="189">
        <f>+'Consolidated Gross Profit'!B11+'Consolidated Gross Profit'!B8+'Consolidated Gross Profit'!B9+'Consolidated Gross Profit'!B10+'Consolidated Operating Expenses'!B7+'Consolidated Operating Expenses'!B8+'Consolidated Operating Expenses'!B23+'Consolidated Operating Expenses'!B24+'Cons Op &amp; EBITDA Margins'!B11-23.541</f>
        <v>849.70799999999997</v>
      </c>
      <c r="E8" s="190">
        <f>134.878+135.861+223.871+223.246</f>
        <v>717.85599999999999</v>
      </c>
      <c r="G8" s="189">
        <f>+'Consolidated Gross Profit'!C11+'Consolidated Gross Profit'!C8+'Consolidated Gross Profit'!C9+'Consolidated Gross Profit'!C10+'Consolidated Operating Expenses'!C7+'Consolidated Operating Expenses'!C8+'Consolidated Operating Expenses'!C23+'Consolidated Operating Expenses'!C24+'Cons Op &amp; EBITDA Margins'!C11-27.168</f>
        <v>890.97400000000005</v>
      </c>
      <c r="H8" s="190">
        <f>147.013+236.506+153.822+232.297</f>
        <v>769.63800000000003</v>
      </c>
      <c r="J8" s="189">
        <f>+'Consolidated Gross Profit'!E11+'Consolidated Gross Profit'!E8+'Consolidated Gross Profit'!E9+'Consolidated Gross Profit'!E10+'Consolidated Operating Expenses'!E7+'Consolidated Operating Expenses'!E8+'Consolidated Operating Expenses'!E23+'Consolidated Operating Expenses'!E24+'Cons Op &amp; EBITDA Margins'!E11+0.1-7.246</f>
        <v>229.602</v>
      </c>
      <c r="K8" s="191">
        <f>39.872+62.052+41.7+60.32</f>
        <v>203.94400000000002</v>
      </c>
      <c r="L8" s="191">
        <f>+'Consolidated Gross Profit'!F11+'Consolidated Gross Profit'!F8+'Consolidated Gross Profit'!F9+'Consolidated Gross Profit'!F10+'Consolidated Operating Expenses'!F7+'Consolidated Operating Expenses'!F8+'Consolidated Operating Expenses'!F23+'Consolidated Operating Expenses'!F24+'Cons Op &amp; EBITDA Margins'!F11+0.1-6.567</f>
        <v>230.35199999999998</v>
      </c>
      <c r="M8" s="191">
        <f>40.022+62.661+40.975+61.512</f>
        <v>205.17</v>
      </c>
      <c r="N8" s="191">
        <f>+'Consolidated Gross Profit'!G11+'Consolidated Gross Profit'!G8+'Consolidated Gross Profit'!G9+'Consolidated Gross Profit'!G10+'Consolidated Operating Expenses'!G7+'Consolidated Operating Expenses'!G8+'Consolidated Operating Expenses'!G23+'Consolidated Operating Expenses'!G24+'Cons Op &amp; EBITDA Margins'!G11+0.1-8.245</f>
        <v>222.30029999999996</v>
      </c>
      <c r="O8" s="191">
        <f>37.178+61.743+40.169+60.113</f>
        <v>199.20299999999997</v>
      </c>
      <c r="P8" s="191">
        <f>+'Consolidated Gross Profit'!H11+'Consolidated Gross Profit'!H8+'Consolidated Gross Profit'!H9+'Consolidated Gross Profit'!H10+'Consolidated Operating Expenses'!H7+'Consolidated Operating Expenses'!H8+'Consolidated Operating Expenses'!H23+'Consolidated Operating Expenses'!H24+'Cons Op &amp; EBITDA Margins'!H11-6.963</f>
        <v>232.108</v>
      </c>
      <c r="Q8" s="190">
        <f>42.532+64.997+37.292+61.171</f>
        <v>205.99199999999999</v>
      </c>
      <c r="S8" s="189">
        <f>+'Consolidated Gross Profit'!J11+'Consolidated Gross Profit'!J8+'Consolidated Gross Profit'!J9+'Consolidated Gross Profit'!J10+'Consolidated Operating Expenses'!J7+'Consolidated Operating Expenses'!J8+'Consolidated Operating Expenses'!J23+'Consolidated Operating Expenses'!J24+'Cons Op &amp; EBITDA Margins'!J11-29.021</f>
        <v>914.37900000000013</v>
      </c>
      <c r="T8" s="190">
        <f>+K8+M8+O8+Q8</f>
        <v>814.30899999999997</v>
      </c>
      <c r="V8" s="189">
        <f>+'Consolidated Gross Profit'!L11+'Consolidated Gross Profit'!L8+'Consolidated Gross Profit'!L9+'Consolidated Gross Profit'!L10+'Consolidated Operating Expenses'!L7+'Consolidated Operating Expenses'!L8+'Consolidated Operating Expenses'!L23+'Consolidated Operating Expenses'!L24+'Cons Op &amp; EBITDA Margins'!L11-7.714</f>
        <v>244.78</v>
      </c>
      <c r="W8" s="191">
        <f>44.637+71.062+36.364+65.986</f>
        <v>218.04899999999998</v>
      </c>
      <c r="X8" s="191">
        <f>+'Consolidated Gross Profit'!M11+'Consolidated Gross Profit'!M8+'Consolidated Gross Profit'!M9+'Consolidated Gross Profit'!M10+'Consolidated Operating Expenses'!M7+'Consolidated Operating Expenses'!M8+'Consolidated Operating Expenses'!M23+'Consolidated Operating Expenses'!M24+'Cons Op &amp; EBITDA Margins'!M11-8.772</f>
        <v>249.04000000000002</v>
      </c>
      <c r="Y8" s="191">
        <f>44.113+73.622+37.208+66.015</f>
        <v>220.95799999999997</v>
      </c>
      <c r="Z8" s="191">
        <f>+'Consolidated Gross Profit'!N11+'Consolidated Gross Profit'!N8+'Consolidated Gross Profit'!N9+'Consolidated Gross Profit'!N10+'Consolidated Operating Expenses'!N7+'Consolidated Operating Expenses'!N8+'Consolidated Operating Expenses'!N23+'Consolidated Operating Expenses'!N24+'Cons Op &amp; EBITDA Margins'!N11-8.226</f>
        <v>238.21799999999999</v>
      </c>
      <c r="AA8" s="191">
        <v>211.29400000000001</v>
      </c>
      <c r="AB8" s="191">
        <f>+'Consolidated Gross Profit'!O11+'Consolidated Gross Profit'!O8+'Consolidated Gross Profit'!O9+'Consolidated Gross Profit'!O10+'Consolidated Operating Expenses'!O7+'Consolidated Operating Expenses'!O8+'Consolidated Operating Expenses'!O23+'Consolidated Operating Expenses'!O24+'Cons Op &amp; EBITDA Margins'!O11-10.592</f>
        <v>249.47899999999996</v>
      </c>
      <c r="AC8" s="191">
        <v>217.101</v>
      </c>
      <c r="AE8" s="189">
        <f>+'Consolidated Gross Profit'!Q11+'Consolidated Gross Profit'!Q8+'Consolidated Gross Profit'!Q9+'Consolidated Gross Profit'!Q10+'Consolidated Operating Expenses'!Q7+'Consolidated Operating Expenses'!Q8+'Consolidated Operating Expenses'!Q23+'Consolidated Operating Expenses'!Q24+'Cons Op &amp; EBITDA Margins'!Q11-35.304</f>
        <v>981.50699999999983</v>
      </c>
      <c r="AF8" s="190">
        <v>867.40099999999995</v>
      </c>
      <c r="AH8" s="191">
        <f>+'Consolidated Gross Profit'!S11+'Consolidated Gross Profit'!S8+'Consolidated Gross Profit'!S9+'Consolidated Gross Profit'!S10+'Consolidated Operating Expenses'!S7+'Consolidated Operating Expenses'!S8+'Consolidated Operating Expenses'!S23+'Consolidated Operating Expenses'!S24+'Cons Op &amp; EBITDA Margins'!S11-6.844</f>
        <v>226.26200000000003</v>
      </c>
      <c r="AI8" s="191">
        <v>200.88800000000001</v>
      </c>
      <c r="AJ8" s="191">
        <f>+'Consolidated Gross Profit'!T11+'Consolidated Gross Profit'!T8+'Consolidated Gross Profit'!T9+'Consolidated Gross Profit'!T10+'Consolidated Operating Expenses'!T7+'Consolidated Operating Expenses'!T8+'Consolidated Operating Expenses'!T23+'Consolidated Operating Expenses'!T24+'Cons Op &amp; EBITDA Margins'!T11-7.305</f>
        <v>211.10599999999997</v>
      </c>
      <c r="AK8" s="191">
        <v>187.43600000000001</v>
      </c>
      <c r="AL8" s="299">
        <f>+'Consolidated Gross Profit'!U11+'Consolidated Gross Profit'!U8+'Consolidated Gross Profit'!U9+'Consolidated Gross Profit'!U10+'Consolidated Operating Expenses'!U7+'Consolidated Operating Expenses'!U8+'Consolidated Operating Expenses'!U23+'Consolidated Operating Expenses'!U24+'Cons Op &amp; EBITDA Margins'!U11-8.236</f>
        <v>225.624</v>
      </c>
      <c r="AM8" s="191">
        <v>199.68700000000001</v>
      </c>
      <c r="AN8" s="191">
        <f>+'Consolidated Gross Profit'!V11+'Consolidated Gross Profit'!V8+'Consolidated Gross Profit'!V9+'Consolidated Gross Profit'!V10+'Consolidated Operating Expenses'!V7+'Consolidated Operating Expenses'!V8+'Consolidated Operating Expenses'!V23+'Consolidated Operating Expenses'!V24+'Cons Op &amp; EBITDA Margins'!V11-4.493</f>
        <v>245.11999999999998</v>
      </c>
      <c r="AO8" s="191">
        <v>222.779</v>
      </c>
      <c r="AQ8" s="190">
        <f>+AH8+AJ8+AL8+AN8</f>
        <v>908.11199999999997</v>
      </c>
      <c r="AR8" s="190">
        <f>+AI8+AK8+AM8+AO8</f>
        <v>810.79</v>
      </c>
      <c r="AU8" s="331"/>
    </row>
    <row r="9" spans="1:47" s="34" customFormat="1" ht="19.5" customHeight="1" thickBot="1" x14ac:dyDescent="0.25">
      <c r="A9" s="352"/>
      <c r="B9" s="202" t="s">
        <v>169</v>
      </c>
      <c r="D9" s="188">
        <f>+D8/(D8+D10)</f>
        <v>0.8133200604935199</v>
      </c>
      <c r="E9" s="188">
        <f>+E8/(E8+E10)</f>
        <v>0.82699826963708467</v>
      </c>
      <c r="G9" s="188">
        <f>+G8/(G8+G10)</f>
        <v>0.82000502509325413</v>
      </c>
      <c r="H9" s="188">
        <f>+H8/(H8+H10)</f>
        <v>0.83266130122869897</v>
      </c>
      <c r="J9" s="188">
        <f t="shared" ref="J9:Q9" si="0">+J8/(J8+J10)</f>
        <v>0.8153798621395012</v>
      </c>
      <c r="K9" s="188">
        <f t="shared" si="0"/>
        <v>0.82953634895649031</v>
      </c>
      <c r="L9" s="188">
        <f t="shared" si="0"/>
        <v>0.83132556209173913</v>
      </c>
      <c r="M9" s="188">
        <f t="shared" si="0"/>
        <v>0.83720303918128181</v>
      </c>
      <c r="N9" s="188">
        <f t="shared" si="0"/>
        <v>0.82227371135679428</v>
      </c>
      <c r="O9" s="188">
        <f t="shared" si="0"/>
        <v>0.83422533795668119</v>
      </c>
      <c r="P9" s="188">
        <f t="shared" si="0"/>
        <v>0.81007091802546338</v>
      </c>
      <c r="Q9" s="188">
        <f t="shared" si="0"/>
        <v>0.82896500102618587</v>
      </c>
      <c r="S9" s="188">
        <f>+S8/(S8+S10)</f>
        <v>0.81970621140730227</v>
      </c>
      <c r="T9" s="188">
        <f>+T8/(T8+T10)</f>
        <v>0.83245485083857929</v>
      </c>
      <c r="V9" s="188">
        <f t="shared" ref="V9:AA9" si="1">+V8/(V8+V10)</f>
        <v>0.81373354032930978</v>
      </c>
      <c r="W9" s="188">
        <f t="shared" si="1"/>
        <v>0.83255632810620728</v>
      </c>
      <c r="X9" s="188">
        <f t="shared" si="1"/>
        <v>0.80594165142958862</v>
      </c>
      <c r="Y9" s="188">
        <f t="shared" si="1"/>
        <v>0.83262866746553921</v>
      </c>
      <c r="Z9" s="188">
        <f t="shared" si="1"/>
        <v>0.80738179969496693</v>
      </c>
      <c r="AA9" s="188">
        <f t="shared" si="1"/>
        <v>0.82329608329047244</v>
      </c>
      <c r="AB9" s="188">
        <f t="shared" ref="AB9:AC9" si="2">+AB8/(AB8+AB10)</f>
        <v>0.80242323267086302</v>
      </c>
      <c r="AC9" s="188">
        <f t="shared" si="2"/>
        <v>0.83247759683115474</v>
      </c>
      <c r="AE9" s="188">
        <f>+AE8/(AE8+AE10)</f>
        <v>0.80730774861858001</v>
      </c>
      <c r="AF9" s="188">
        <f>+AF8/(AF8+AF10)</f>
        <v>0.83028001098870607</v>
      </c>
      <c r="AH9" s="188">
        <f t="shared" ref="AH9:AM9" si="3">+AH8/(AH8+AH10)</f>
        <v>0.8048562718544684</v>
      </c>
      <c r="AI9" s="188">
        <f t="shared" si="3"/>
        <v>0.82253950186095837</v>
      </c>
      <c r="AJ9" s="188">
        <f t="shared" si="3"/>
        <v>0.79127560046778012</v>
      </c>
      <c r="AK9" s="188">
        <f t="shared" si="3"/>
        <v>0.82115851361179015</v>
      </c>
      <c r="AL9" s="300">
        <f t="shared" si="3"/>
        <v>0.77678165668250365</v>
      </c>
      <c r="AM9" s="188">
        <f t="shared" si="3"/>
        <v>0.81754834166492674</v>
      </c>
      <c r="AN9" s="188">
        <f>+AN8/(AN8+AN10)</f>
        <v>0.75045847403919463</v>
      </c>
      <c r="AO9" s="188">
        <f>+AO8/(AO8+AO10)</f>
        <v>0.81280989474068266</v>
      </c>
      <c r="AQ9" s="188">
        <f>+AQ8/(AQ8+AQ10)</f>
        <v>0.77949527896995707</v>
      </c>
      <c r="AR9" s="188">
        <f>+AR8/(AR8+AR10)</f>
        <v>0.81829953483114537</v>
      </c>
      <c r="AU9" s="331"/>
    </row>
    <row r="10" spans="1:47" ht="19.5" customHeight="1" thickBot="1" x14ac:dyDescent="0.25">
      <c r="A10" s="352"/>
      <c r="B10" s="203" t="s">
        <v>211</v>
      </c>
      <c r="D10" s="21">
        <f>+'Consolidated Operating Expenses'!B9+'Consolidated Operating Expenses'!B25+'Consolidated Gross Profit'!B12+23.541</f>
        <v>195.03200000000001</v>
      </c>
      <c r="E10" s="21">
        <v>150.16999999999999</v>
      </c>
      <c r="G10" s="21">
        <f>+'Consolidated Operating Expenses'!C9+'Consolidated Operating Expenses'!C25+'Consolidated Gross Profit'!C12+27.168</f>
        <v>195.57299999999998</v>
      </c>
      <c r="H10" s="21">
        <v>154.673</v>
      </c>
      <c r="J10" s="21">
        <f>+'Consolidated Operating Expenses'!E9+'Consolidated Operating Expenses'!E25+'Consolidated Gross Profit'!E12+0.1+7.246</f>
        <v>51.987000000000002</v>
      </c>
      <c r="K10" s="21">
        <v>41.908999999999999</v>
      </c>
      <c r="L10" s="21">
        <f>+'Consolidated Operating Expenses'!F9+'Consolidated Operating Expenses'!F25+'Consolidated Gross Profit'!F12+6.567</f>
        <v>46.738</v>
      </c>
      <c r="M10" s="21">
        <v>39.896000000000001</v>
      </c>
      <c r="N10" s="21">
        <f>+'Consolidated Operating Expenses'!G9+'Consolidated Operating Expenses'!G25+'Consolidated Gross Profit'!G12+8.245</f>
        <v>48.047999999999995</v>
      </c>
      <c r="O10" s="21">
        <v>39.585000000000001</v>
      </c>
      <c r="P10" s="21">
        <f>+'Consolidated Operating Expenses'!H9+'Consolidated Operating Expenses'!H25+'Consolidated Gross Profit'!H12+6.963</f>
        <v>54.419999999999995</v>
      </c>
      <c r="Q10" s="21">
        <v>42.500999999999998</v>
      </c>
      <c r="S10" s="21">
        <f>+'Consolidated Operating Expenses'!J9+'Consolidated Operating Expenses'!J25+'Consolidated Gross Profit'!J12+29.021</f>
        <v>201.11700000000002</v>
      </c>
      <c r="T10" s="21">
        <v>163.893</v>
      </c>
      <c r="V10" s="21">
        <f>+'Consolidated Operating Expenses'!L9+'Consolidated Operating Expenses'!L25+'Consolidated Gross Profit'!L12+7.714</f>
        <v>56.030999999999999</v>
      </c>
      <c r="W10" s="21">
        <v>43.853999999999999</v>
      </c>
      <c r="X10" s="21">
        <f>+'Consolidated Operating Expenses'!M9+'Consolidated Operating Expenses'!M25+'Consolidated Gross Profit'!M12+8.772</f>
        <v>59.964999999999989</v>
      </c>
      <c r="Y10" s="21">
        <v>44.415999999999997</v>
      </c>
      <c r="Z10" s="21">
        <f>+'Consolidated Operating Expenses'!N9+'Consolidated Operating Expenses'!N25+'Consolidated Gross Profit'!N12+8.226</f>
        <v>56.832000000000001</v>
      </c>
      <c r="AA10" s="21">
        <v>45.35</v>
      </c>
      <c r="AB10" s="21">
        <f>+'Consolidated Operating Expenses'!O9+'Consolidated Operating Expenses'!O25+'Consolidated Gross Profit'!O12+10.592</f>
        <v>61.427999999999997</v>
      </c>
      <c r="AC10" s="21">
        <v>43.688000000000002</v>
      </c>
      <c r="AE10" s="21">
        <f>+'Consolidated Operating Expenses'!Q9+'Consolidated Operating Expenses'!Q25+'Consolidated Gross Profit'!Q12+35.304</f>
        <v>234.27100000000002</v>
      </c>
      <c r="AF10" s="21">
        <v>177.30799999999999</v>
      </c>
      <c r="AH10" s="21">
        <f>+'Consolidated Operating Expenses'!S9+'Consolidated Operating Expenses'!S25+'Consolidated Gross Profit'!S12+6.844</f>
        <v>54.859000000000002</v>
      </c>
      <c r="AI10" s="21">
        <v>43.341000000000001</v>
      </c>
      <c r="AJ10" s="21">
        <f>+'Consolidated Operating Expenses'!T9+'Consolidated Operating Expenses'!T25+'Consolidated Gross Profit'!T12+7.305</f>
        <v>55.685999999999993</v>
      </c>
      <c r="AK10" s="21">
        <v>40.822000000000003</v>
      </c>
      <c r="AL10" s="301">
        <f>+'Consolidated Operating Expenses'!U9+'Consolidated Operating Expenses'!U25+'Consolidated Gross Profit'!U12+8.236</f>
        <v>64.835999999999999</v>
      </c>
      <c r="AM10" s="21">
        <v>44.564</v>
      </c>
      <c r="AN10" s="21">
        <f>+'Consolidated Operating Expenses'!V9+'Consolidated Operating Expenses'!V25+'Consolidated Gross Profit'!V12+4.493</f>
        <v>81.506999999999991</v>
      </c>
      <c r="AO10" s="21">
        <v>51.305999999999997</v>
      </c>
      <c r="AQ10" s="190">
        <f>+AH10+AJ10+AL10+AN10</f>
        <v>256.88799999999998</v>
      </c>
      <c r="AR10" s="190">
        <f>+AI10+AK10+AM10+AO10</f>
        <v>180.03300000000002</v>
      </c>
      <c r="AU10" s="331"/>
    </row>
    <row r="11" spans="1:47" s="34" customFormat="1" ht="19.5" customHeight="1" thickBot="1" x14ac:dyDescent="0.25">
      <c r="A11" s="353"/>
      <c r="B11" s="204" t="s">
        <v>169</v>
      </c>
      <c r="D11" s="22">
        <f>+D10/(D10+D8)</f>
        <v>0.1866799395064801</v>
      </c>
      <c r="E11" s="22">
        <f>+E10/(E10+E8)</f>
        <v>0.17300173036291538</v>
      </c>
      <c r="F11" s="36"/>
      <c r="G11" s="22">
        <f>+G10/(G10+G8)</f>
        <v>0.17999497490674585</v>
      </c>
      <c r="H11" s="22">
        <f>+H10/(H10+H8)</f>
        <v>0.167338698771301</v>
      </c>
      <c r="I11" s="36"/>
      <c r="J11" s="22">
        <f t="shared" ref="J11:Q11" si="4">+J10/(J10+J8)</f>
        <v>0.18462013786049883</v>
      </c>
      <c r="K11" s="22">
        <f t="shared" si="4"/>
        <v>0.17046365104350972</v>
      </c>
      <c r="L11" s="22">
        <f t="shared" si="4"/>
        <v>0.16867443790826087</v>
      </c>
      <c r="M11" s="22">
        <f t="shared" si="4"/>
        <v>0.16279696081871825</v>
      </c>
      <c r="N11" s="22">
        <f t="shared" si="4"/>
        <v>0.17772628864320583</v>
      </c>
      <c r="O11" s="22">
        <f t="shared" si="4"/>
        <v>0.16577466204331878</v>
      </c>
      <c r="P11" s="22">
        <f t="shared" si="4"/>
        <v>0.18992908197453648</v>
      </c>
      <c r="Q11" s="22">
        <f t="shared" si="4"/>
        <v>0.17103499897381413</v>
      </c>
      <c r="R11" s="36"/>
      <c r="S11" s="22">
        <f>+S10/(S10+S8)</f>
        <v>0.18029378859269779</v>
      </c>
      <c r="T11" s="22">
        <f>+T10/(T10+T8)</f>
        <v>0.16754514916142066</v>
      </c>
      <c r="U11" s="36"/>
      <c r="V11" s="22">
        <f t="shared" ref="V11:AA11" si="5">+V10/(V10+V8)</f>
        <v>0.18626645967069025</v>
      </c>
      <c r="W11" s="22">
        <f t="shared" si="5"/>
        <v>0.16744367189379275</v>
      </c>
      <c r="X11" s="22">
        <f t="shared" si="5"/>
        <v>0.19405834857041146</v>
      </c>
      <c r="Y11" s="22">
        <f t="shared" si="5"/>
        <v>0.16737133253446082</v>
      </c>
      <c r="Z11" s="22">
        <f t="shared" si="5"/>
        <v>0.19261820030503304</v>
      </c>
      <c r="AA11" s="22">
        <f t="shared" si="5"/>
        <v>0.17670391670952759</v>
      </c>
      <c r="AB11" s="22">
        <f t="shared" ref="AB11:AC11" si="6">+AB10/(AB10+AB8)</f>
        <v>0.19757676732913704</v>
      </c>
      <c r="AC11" s="22">
        <f t="shared" si="6"/>
        <v>0.16752240316884534</v>
      </c>
      <c r="AD11" s="36"/>
      <c r="AE11" s="22">
        <f>+AE10/(AE10+AE8)</f>
        <v>0.19269225138142002</v>
      </c>
      <c r="AF11" s="22">
        <f>+AF10/(AF10+AF8)</f>
        <v>0.16971998901129406</v>
      </c>
      <c r="AG11" s="36"/>
      <c r="AH11" s="22">
        <f t="shared" ref="AH11:AM11" si="7">+AH10/(AH10+AH8)</f>
        <v>0.19514372814553163</v>
      </c>
      <c r="AI11" s="22">
        <f t="shared" si="7"/>
        <v>0.17746049813904163</v>
      </c>
      <c r="AJ11" s="22">
        <f t="shared" si="7"/>
        <v>0.20872439953221986</v>
      </c>
      <c r="AK11" s="22">
        <f t="shared" si="7"/>
        <v>0.17884148638820985</v>
      </c>
      <c r="AL11" s="22">
        <f t="shared" si="7"/>
        <v>0.2232183433174964</v>
      </c>
      <c r="AM11" s="22">
        <f t="shared" si="7"/>
        <v>0.18245165833507335</v>
      </c>
      <c r="AN11" s="22">
        <f>+AN10/(AN10+AN8)</f>
        <v>0.24954152596080545</v>
      </c>
      <c r="AO11" s="22">
        <f>+AO10/(AO10+AO8)</f>
        <v>0.18719010525931737</v>
      </c>
      <c r="AP11" s="36"/>
      <c r="AQ11" s="22">
        <f>+AQ10/(AQ10+AQ8)</f>
        <v>0.2205047210300429</v>
      </c>
      <c r="AR11" s="22">
        <f>+AR10/(AR10+AR8)</f>
        <v>0.1817004651688546</v>
      </c>
      <c r="AS11" s="36"/>
      <c r="AT11" s="36"/>
      <c r="AU11" s="331"/>
    </row>
    <row r="12" spans="1:47" ht="25.15" customHeight="1" thickBot="1" x14ac:dyDescent="0.3"/>
    <row r="13" spans="1:47" ht="17.25" customHeight="1" thickBot="1" x14ac:dyDescent="0.25">
      <c r="A13" s="348" t="s">
        <v>95</v>
      </c>
      <c r="B13" s="205" t="s">
        <v>223</v>
      </c>
      <c r="D13" s="21">
        <f>+'Consolidated Gross Profit'!B15</f>
        <v>639.47699999999998</v>
      </c>
      <c r="E13" s="21">
        <f>+'Consolidated Gross Profit'!B24</f>
        <v>698.31499999999994</v>
      </c>
      <c r="G13" s="21">
        <f>+'Consolidated Gross Profit'!C15</f>
        <v>688.41299999999978</v>
      </c>
      <c r="H13" s="21">
        <f>+'Consolidated Gross Profit'!C24</f>
        <v>752.71299999999974</v>
      </c>
      <c r="J13" s="21">
        <f>+'Consolidated Gross Profit'!E15</f>
        <v>175.06399999999999</v>
      </c>
      <c r="K13" s="21">
        <f>+'Consolidated Gross Profit'!E24</f>
        <v>186.464</v>
      </c>
      <c r="L13" s="21">
        <f>+'Consolidated Gross Profit'!F15</f>
        <v>193.02</v>
      </c>
      <c r="M13" s="21">
        <f>+'Consolidated Gross Profit'!F24</f>
        <v>203.32000000000002</v>
      </c>
      <c r="N13" s="21">
        <f>+'Consolidated Gross Profit'!G15</f>
        <v>192.6977</v>
      </c>
      <c r="O13" s="21">
        <f>+'Consolidated Gross Profit'!G24</f>
        <v>204.0977</v>
      </c>
      <c r="P13" s="21">
        <f>+'Consolidated Gross Profit'!H15</f>
        <v>219.74600000000001</v>
      </c>
      <c r="Q13" s="21">
        <f>+'Consolidated Gross Profit'!H24</f>
        <v>234.946</v>
      </c>
      <c r="S13" s="21">
        <f>+'Consolidated Gross Profit'!J15</f>
        <v>780.47399999999982</v>
      </c>
      <c r="T13" s="21">
        <f>+'Consolidated Gross Profit'!J24</f>
        <v>828.8739999999998</v>
      </c>
      <c r="V13" s="21">
        <f>+'Consolidated Gross Profit'!L15</f>
        <v>201.07100000000003</v>
      </c>
      <c r="W13" s="21">
        <f>+'Consolidated Gross Profit'!L24</f>
        <v>218.57100000000003</v>
      </c>
      <c r="X13" s="21">
        <f>+'Consolidated Gross Profit'!M15</f>
        <v>207.86899999999997</v>
      </c>
      <c r="Y13" s="21">
        <f>+'Consolidated Gross Profit'!M24</f>
        <v>223.56899999999996</v>
      </c>
      <c r="Z13" s="21">
        <f>+'Consolidated Gross Profit'!N15</f>
        <v>211.59500000000003</v>
      </c>
      <c r="AA13" s="21">
        <f>+'Consolidated Gross Profit'!N24</f>
        <v>226.24500000000003</v>
      </c>
      <c r="AB13" s="21">
        <f>+'Consolidated Gross Profit'!O15</f>
        <v>219.33799999999997</v>
      </c>
      <c r="AC13" s="21">
        <f>+'Consolidated Gross Profit'!O24</f>
        <v>238.71699999999996</v>
      </c>
      <c r="AE13" s="21">
        <f>+'Consolidated Gross Profit'!Q15</f>
        <v>839.86800000000005</v>
      </c>
      <c r="AF13" s="21">
        <f>+'Consolidated Gross Profit'!Q24</f>
        <v>907.06400000000008</v>
      </c>
      <c r="AH13" s="21">
        <f>+'Consolidated Gross Profit'!S15</f>
        <v>184.96900000000005</v>
      </c>
      <c r="AI13" s="21">
        <f>+'Consolidated Gross Profit'!S24</f>
        <v>196.70400000000006</v>
      </c>
      <c r="AJ13" s="21">
        <f>+'Consolidated Gross Profit'!T15</f>
        <v>211.01000000000005</v>
      </c>
      <c r="AK13" s="21">
        <f>+'Consolidated Gross Profit'!T24</f>
        <v>221.47400000000005</v>
      </c>
      <c r="AL13" s="21">
        <f>+'Consolidated Gross Profit'!U15</f>
        <v>224.99799999999999</v>
      </c>
      <c r="AM13" s="21">
        <f>+'Consolidated Gross Profit'!U24</f>
        <v>235.023</v>
      </c>
      <c r="AN13" s="21">
        <f>+'Consolidated Gross Profit'!V15</f>
        <v>237.13400000000001</v>
      </c>
      <c r="AO13" s="21">
        <f>+'Consolidated Gross Profit'!V24</f>
        <v>246.26500000000001</v>
      </c>
      <c r="AQ13" s="21">
        <f>+'Consolidated Gross Profit'!X15</f>
        <v>858.11099999999988</v>
      </c>
      <c r="AR13" s="21">
        <f>+'Consolidated Gross Profit'!X24</f>
        <v>899.46599999999989</v>
      </c>
      <c r="AU13" s="326" t="s">
        <v>166</v>
      </c>
    </row>
    <row r="14" spans="1:47" s="34" customFormat="1" ht="17.25" customHeight="1" thickBot="1" x14ac:dyDescent="0.25">
      <c r="A14" s="349"/>
      <c r="B14" s="206" t="s">
        <v>224</v>
      </c>
      <c r="D14" s="23">
        <f>+'Consolidated Gross Profit'!B16</f>
        <v>0.60199999999999998</v>
      </c>
      <c r="E14" s="23">
        <f>+'Consolidated Gross Profit'!B25</f>
        <v>0.65100000000000002</v>
      </c>
      <c r="G14" s="22">
        <f>+'Consolidated Gross Profit'!C16</f>
        <v>0.60599999999999998</v>
      </c>
      <c r="H14" s="22">
        <f>+'Consolidated Gross Profit'!C25</f>
        <v>0.65400000000000003</v>
      </c>
      <c r="J14" s="22">
        <f>+'Consolidated Gross Profit'!E16</f>
        <v>0.60599999999999998</v>
      </c>
      <c r="K14" s="22">
        <f>+'Consolidated Gross Profit'!E25</f>
        <v>0.63900000000000001</v>
      </c>
      <c r="L14" s="22">
        <f>+'Consolidated Gross Profit'!F16</f>
        <v>0.63</v>
      </c>
      <c r="M14" s="22">
        <f>+'Consolidated Gross Profit'!F25</f>
        <v>0.65900000000000003</v>
      </c>
      <c r="N14" s="22">
        <f>+'Consolidated Gross Profit'!G16</f>
        <v>0.63400000000000001</v>
      </c>
      <c r="O14" s="22">
        <f>+'Consolidated Gross Profit'!G25</f>
        <v>0.66300000000000003</v>
      </c>
      <c r="P14" s="22">
        <f>+'Consolidated Gross Profit'!H16</f>
        <v>0.66500000000000004</v>
      </c>
      <c r="Q14" s="22">
        <f>+'Consolidated Gross Profit'!H25</f>
        <v>0.69799999999999995</v>
      </c>
      <c r="S14" s="22">
        <f>+'Consolidated Gross Profit'!J16</f>
        <v>0.63500000000000001</v>
      </c>
      <c r="T14" s="22">
        <f>+'Consolidated Gross Profit'!J25</f>
        <v>0.66600000000000004</v>
      </c>
      <c r="V14" s="22">
        <f>+'Consolidated Gross Profit'!L16</f>
        <v>0.63800000000000001</v>
      </c>
      <c r="W14" s="22">
        <f>+'Consolidated Gross Profit'!L25</f>
        <v>0.67400000000000004</v>
      </c>
      <c r="X14" s="22">
        <f>+'Consolidated Gross Profit'!M16</f>
        <v>0.64100000000000001</v>
      </c>
      <c r="Y14" s="22">
        <f>+'Consolidated Gross Profit'!M25</f>
        <v>0.67500000000000004</v>
      </c>
      <c r="Z14" s="22">
        <f>+'Consolidated Gross Profit'!N16</f>
        <v>0.65100000000000002</v>
      </c>
      <c r="AA14" s="22">
        <f>+'Consolidated Gross Profit'!N25</f>
        <v>0.68300000000000005</v>
      </c>
      <c r="AB14" s="22">
        <f>+'Consolidated Gross Profit'!O16</f>
        <v>0.64700000000000002</v>
      </c>
      <c r="AC14" s="22">
        <f>+'Consolidated Gross Profit'!O25</f>
        <v>0.68300000000000005</v>
      </c>
      <c r="AE14" s="22">
        <f>+'Consolidated Gross Profit'!Q16</f>
        <v>0.64400000000000002</v>
      </c>
      <c r="AF14" s="22">
        <f>+'Consolidated Gross Profit'!Q25</f>
        <v>0.67900000000000005</v>
      </c>
      <c r="AH14" s="22">
        <f>+'Consolidated Gross Profit'!S16</f>
        <v>0.64400000000000002</v>
      </c>
      <c r="AI14" s="22">
        <f>+'Consolidated Gross Profit'!S25</f>
        <v>0.67400000000000004</v>
      </c>
      <c r="AJ14" s="22">
        <f>+'Consolidated Gross Profit'!T16</f>
        <v>0.68300000000000005</v>
      </c>
      <c r="AK14" s="22">
        <f>+'Consolidated Gross Profit'!T25</f>
        <v>0.70699999999999996</v>
      </c>
      <c r="AL14" s="22">
        <f>+'Consolidated Gross Profit'!U16</f>
        <v>0.68600000000000005</v>
      </c>
      <c r="AM14" s="22">
        <f>+'Consolidated Gross Profit'!U25</f>
        <v>0.71</v>
      </c>
      <c r="AN14" s="22">
        <f>+'Consolidated Gross Profit'!V16</f>
        <v>0.67900000000000005</v>
      </c>
      <c r="AO14" s="22">
        <f>+'Consolidated Gross Profit'!V25</f>
        <v>0.70099999999999996</v>
      </c>
      <c r="AQ14" s="22">
        <f>+'Consolidated Gross Profit'!X16</f>
        <v>0.67400000000000004</v>
      </c>
      <c r="AR14" s="22">
        <f>+'Consolidated Gross Profit'!X25</f>
        <v>0.69899999999999995</v>
      </c>
      <c r="AU14" s="327"/>
    </row>
    <row r="15" spans="1:47" ht="17.25" customHeight="1" thickBot="1" x14ac:dyDescent="0.25">
      <c r="A15" s="349"/>
      <c r="B15" s="205" t="s">
        <v>103</v>
      </c>
      <c r="D15" s="21">
        <f>+'Cons Op &amp; EBITDA Margins'!B6</f>
        <v>17.366</v>
      </c>
      <c r="E15" s="21">
        <f>+'Cons Op &amp; EBITDA Margins'!B18</f>
        <v>204.62199999999996</v>
      </c>
      <c r="G15" s="21">
        <f>+'Cons Op &amp; EBITDA Margins'!C6</f>
        <v>48.6</v>
      </c>
      <c r="H15" s="21">
        <f>+'Cons Op &amp; EBITDA Margins'!C18</f>
        <v>226.07300000000001</v>
      </c>
      <c r="J15" s="21">
        <f>+'Cons Op &amp; EBITDA Margins'!E6</f>
        <v>7.8000000000000007</v>
      </c>
      <c r="K15" s="21">
        <f>+'Cons Op &amp; EBITDA Margins'!E18</f>
        <v>46.129999999999995</v>
      </c>
      <c r="L15" s="21">
        <f>+'Cons Op &amp; EBITDA Margins'!F6</f>
        <v>29.2</v>
      </c>
      <c r="M15" s="21">
        <f>+'Cons Op &amp; EBITDA Margins'!F18</f>
        <v>63.400999999999996</v>
      </c>
      <c r="N15" s="21">
        <f>+'Cons Op &amp; EBITDA Margins'!G6</f>
        <v>33.700000000000003</v>
      </c>
      <c r="O15" s="21">
        <f>+'Cons Op &amp; EBITDA Margins'!G18</f>
        <v>69.214300000000009</v>
      </c>
      <c r="P15" s="21">
        <f>+'Cons Op &amp; EBITDA Margins'!H6</f>
        <v>43.6</v>
      </c>
      <c r="Q15" s="21">
        <f>+'Cons Op &amp; EBITDA Margins'!H18</f>
        <v>88.194000000000017</v>
      </c>
      <c r="S15" s="21">
        <f>+'Cons Op &amp; EBITDA Margins'!J6</f>
        <v>114.19999999999999</v>
      </c>
      <c r="T15" s="21">
        <f>+'Cons Op &amp; EBITDA Margins'!J18</f>
        <v>266.85999999999996</v>
      </c>
      <c r="V15" s="21">
        <f>+'Cons Op &amp; EBITDA Margins'!L6</f>
        <v>14.5</v>
      </c>
      <c r="W15" s="21">
        <f>+'Cons Op &amp; EBITDA Margins'!L18</f>
        <v>62.315999999999995</v>
      </c>
      <c r="X15" s="21">
        <f>+'Cons Op &amp; EBITDA Margins'!M6</f>
        <v>15.28</v>
      </c>
      <c r="Y15" s="21">
        <f>+'Cons Op &amp; EBITDA Margins'!M18</f>
        <v>65.920999999999992</v>
      </c>
      <c r="Z15" s="21">
        <f>+'Cons Op &amp; EBITDA Margins'!N6</f>
        <v>29.817</v>
      </c>
      <c r="AA15" s="21">
        <f>+'Cons Op &amp; EBITDA Margins'!N18</f>
        <v>74.436000000000007</v>
      </c>
      <c r="AB15" s="21">
        <f>+'Cons Op &amp; EBITDA Margins'!O6</f>
        <v>28.295999999999999</v>
      </c>
      <c r="AC15" s="21">
        <f>+'Cons Op &amp; EBITDA Margins'!O18</f>
        <v>88.675999999999988</v>
      </c>
      <c r="AE15" s="21">
        <f>+'Cons Op &amp; EBITDA Margins'!Q6</f>
        <v>87.856000000000009</v>
      </c>
      <c r="AF15" s="21">
        <f>+'Cons Op &amp; EBITDA Margins'!Q18</f>
        <v>291.30900000000003</v>
      </c>
      <c r="AH15" s="21">
        <f>+'Cons Op &amp; EBITDA Margins'!S6</f>
        <v>6.1740000000000004</v>
      </c>
      <c r="AI15" s="21">
        <f>+'Cons Op &amp; EBITDA Margins'!S18</f>
        <v>47.420000000000009</v>
      </c>
      <c r="AJ15" s="21">
        <f>+'Cons Op &amp; EBITDA Margins'!T6</f>
        <v>42.317</v>
      </c>
      <c r="AK15" s="21">
        <f>+'Cons Op &amp; EBITDA Margins'!T18</f>
        <v>85.155000000000001</v>
      </c>
      <c r="AL15" s="21">
        <f>+'Cons Op &amp; EBITDA Margins'!U6</f>
        <v>37.741</v>
      </c>
      <c r="AM15" s="21">
        <f>+'Cons Op &amp; EBITDA Margins'!U18</f>
        <v>86.869</v>
      </c>
      <c r="AN15" s="21">
        <f>+'Cons Op &amp; EBITDA Margins'!V6</f>
        <v>22.472999999999999</v>
      </c>
      <c r="AO15" s="21">
        <f>+'Cons Op &amp; EBITDA Margins'!V18</f>
        <v>77.341999999999999</v>
      </c>
      <c r="AQ15" s="21">
        <f>+'Cons Op &amp; EBITDA Margins'!X6</f>
        <v>108.70500000000001</v>
      </c>
      <c r="AR15" s="21">
        <f>+'Cons Op &amp; EBITDA Margins'!X18</f>
        <v>296.78600000000006</v>
      </c>
      <c r="AU15" s="328" t="s">
        <v>182</v>
      </c>
    </row>
    <row r="16" spans="1:47" s="34" customFormat="1" ht="17.25" customHeight="1" thickBot="1" x14ac:dyDescent="0.25">
      <c r="A16" s="349"/>
      <c r="B16" s="206" t="s">
        <v>104</v>
      </c>
      <c r="D16" s="22">
        <f>+'Cons Op &amp; EBITDA Margins'!B7</f>
        <v>1.6E-2</v>
      </c>
      <c r="E16" s="22">
        <f>+'Cons Op &amp; EBITDA Margins'!B21</f>
        <v>0.191</v>
      </c>
      <c r="G16" s="22">
        <f>+'Cons Op &amp; EBITDA Margins'!C7</f>
        <v>4.2999999999999997E-2</v>
      </c>
      <c r="H16" s="22">
        <f>+'Cons Op &amp; EBITDA Margins'!C21</f>
        <v>0.19652325076053886</v>
      </c>
      <c r="J16" s="22">
        <f>+'Cons Op &amp; EBITDA Margins'!E7</f>
        <v>2.7E-2</v>
      </c>
      <c r="K16" s="22">
        <f>+'Cons Op &amp; EBITDA Margins'!E21</f>
        <v>0.15787671232876713</v>
      </c>
      <c r="L16" s="22">
        <f>+'Cons Op &amp; EBITDA Margins'!F7</f>
        <v>9.5000000000000001E-2</v>
      </c>
      <c r="M16" s="22">
        <f>+'Cons Op &amp; EBITDA Margins'!F21</f>
        <v>0.20551053484602916</v>
      </c>
      <c r="N16" s="22">
        <f>+'Cons Op &amp; EBITDA Margins'!G7</f>
        <v>0.111</v>
      </c>
      <c r="O16" s="22">
        <f>+'Cons Op &amp; EBITDA Margins'!G21</f>
        <v>0.22467532467532464</v>
      </c>
      <c r="P16" s="22">
        <f>+'Cons Op &amp; EBITDA Margins'!H7</f>
        <v>0.13200000000000001</v>
      </c>
      <c r="Q16" s="22">
        <f>+'Cons Op &amp; EBITDA Margins'!H21</f>
        <v>0.26195426195426186</v>
      </c>
      <c r="S16" s="22">
        <f>+'Cons Op &amp; EBITDA Margins'!J7</f>
        <v>9.2999999999999999E-2</v>
      </c>
      <c r="T16" s="22">
        <f>+'Cons Op &amp; EBITDA Margins'!J21</f>
        <v>0.2143602923459963</v>
      </c>
      <c r="V16" s="22">
        <f>+'Cons Op &amp; EBITDA Margins'!L7</f>
        <v>4.5999999999999999E-2</v>
      </c>
      <c r="W16" s="22">
        <f>+'Cons Op &amp; EBITDA Margins'!L21</f>
        <v>0.19216533004318323</v>
      </c>
      <c r="X16" s="22">
        <f>+'Cons Op &amp; EBITDA Margins'!M7</f>
        <v>4.7E-2</v>
      </c>
      <c r="Y16" s="22">
        <f>+'Cons Op &amp; EBITDA Margins'!M21</f>
        <v>0.198913371566556</v>
      </c>
      <c r="Z16" s="22">
        <f>+'Cons Op &amp; EBITDA Margins'!N7</f>
        <v>9.1999999999999998E-2</v>
      </c>
      <c r="AA16" s="22">
        <f>+'Cons Op &amp; EBITDA Margins'!N21</f>
        <v>0.22500000000000001</v>
      </c>
      <c r="AB16" s="22">
        <f>+'Cons Op &amp; EBITDA Margins'!O7</f>
        <v>8.3000000000000004E-2</v>
      </c>
      <c r="AC16" s="22">
        <f>+'Cons Op &amp; EBITDA Margins'!O21</f>
        <v>0.254</v>
      </c>
      <c r="AE16" s="22">
        <f>+'Cons Op &amp; EBITDA Margins'!Q7</f>
        <v>6.7000000000000004E-2</v>
      </c>
      <c r="AF16" s="22">
        <f>+'Cons Op &amp; EBITDA Margins'!Q21</f>
        <v>0.218</v>
      </c>
      <c r="AH16" s="22">
        <f>+'Cons Op &amp; EBITDA Margins'!S7</f>
        <v>2.1000000000000001E-2</v>
      </c>
      <c r="AI16" s="22">
        <f>+'Cons Op &amp; EBITDA Margins'!S21</f>
        <v>0.16300000000000001</v>
      </c>
      <c r="AJ16" s="22">
        <f>+'Cons Op &amp; EBITDA Margins'!T7</f>
        <v>0.13700000000000001</v>
      </c>
      <c r="AK16" s="22">
        <f>+'Cons Op &amp; EBITDA Margins'!T21</f>
        <v>0.27200000000000002</v>
      </c>
      <c r="AL16" s="22">
        <f>+'Cons Op &amp; EBITDA Margins'!U7</f>
        <v>0.115</v>
      </c>
      <c r="AM16" s="22">
        <f>+'Cons Op &amp; EBITDA Margins'!U21</f>
        <v>0.26200000000000001</v>
      </c>
      <c r="AN16" s="22">
        <f>+'Cons Op &amp; EBITDA Margins'!V7</f>
        <v>6.4000000000000001E-2</v>
      </c>
      <c r="AO16" s="22">
        <f>+'Cons Op &amp; EBITDA Margins'!V21</f>
        <v>0.22</v>
      </c>
      <c r="AQ16" s="22">
        <f>+'Cons Op &amp; EBITDA Margins'!X7</f>
        <v>8.5000000000000006E-2</v>
      </c>
      <c r="AR16" s="22">
        <f>+'Cons Op &amp; EBITDA Margins'!X21</f>
        <v>0.23</v>
      </c>
      <c r="AU16" s="329"/>
    </row>
    <row r="17" spans="1:47" ht="17.25" customHeight="1" thickBot="1" x14ac:dyDescent="0.25">
      <c r="A17" s="349"/>
      <c r="B17" s="205" t="s">
        <v>208</v>
      </c>
      <c r="D17" s="20"/>
      <c r="E17" s="21">
        <f>+'Cons Op &amp; EBITDA Margins'!B20</f>
        <v>233.46399999999994</v>
      </c>
      <c r="G17" s="20"/>
      <c r="H17" s="21">
        <f>+'Cons Op &amp; EBITDA Margins'!C20</f>
        <v>256.57299999999998</v>
      </c>
      <c r="J17" s="20"/>
      <c r="K17" s="21">
        <f>+'Cons Op &amp; EBITDA Margins'!E20</f>
        <v>54.33</v>
      </c>
      <c r="L17" s="20"/>
      <c r="M17" s="21">
        <f>+'Cons Op &amp; EBITDA Margins'!F20</f>
        <v>70.700999999999993</v>
      </c>
      <c r="N17" s="20"/>
      <c r="O17" s="21">
        <f>+'Cons Op &amp; EBITDA Margins'!G20</f>
        <v>76.314300000000003</v>
      </c>
      <c r="P17" s="20"/>
      <c r="Q17" s="21">
        <f>+'Cons Op &amp; EBITDA Margins'!H20</f>
        <v>95.39400000000002</v>
      </c>
      <c r="S17" s="20"/>
      <c r="T17" s="21">
        <f>+'Cons Op &amp; EBITDA Margins'!J20</f>
        <v>296.65999999999997</v>
      </c>
      <c r="V17" s="20"/>
      <c r="W17" s="21">
        <f>+'Cons Op &amp; EBITDA Margins'!L20</f>
        <v>70.116</v>
      </c>
      <c r="X17" s="20"/>
      <c r="Y17" s="21">
        <f>+'Cons Op &amp; EBITDA Margins'!M20</f>
        <v>73.820999999999998</v>
      </c>
      <c r="Z17" s="20"/>
      <c r="AA17" s="21">
        <f>+'Cons Op &amp; EBITDA Margins'!N20</f>
        <v>83.110000000000014</v>
      </c>
      <c r="AB17" s="20"/>
      <c r="AC17" s="21">
        <f>+'Cons Op &amp; EBITDA Margins'!O20</f>
        <v>97.575999999999993</v>
      </c>
      <c r="AE17" s="20"/>
      <c r="AF17" s="21">
        <f>+'Cons Op &amp; EBITDA Margins'!Q20</f>
        <v>324.64800000000002</v>
      </c>
      <c r="AH17" s="20"/>
      <c r="AI17" s="21">
        <f>+'Cons Op &amp; EBITDA Margins'!S20</f>
        <v>57.978000000000009</v>
      </c>
      <c r="AJ17" s="20"/>
      <c r="AK17" s="21">
        <f>+'Cons Op &amp; EBITDA Margins'!T20</f>
        <v>95.787000000000006</v>
      </c>
      <c r="AL17" s="20"/>
      <c r="AM17" s="21">
        <f>+'Cons Op &amp; EBITDA Margins'!U20</f>
        <v>97.129000000000005</v>
      </c>
      <c r="AN17" s="20"/>
      <c r="AO17" s="21">
        <f>+'Cons Op &amp; EBITDA Margins'!V20</f>
        <v>87.564999999999998</v>
      </c>
      <c r="AQ17" s="20"/>
      <c r="AR17" s="21">
        <f>+'Cons Op &amp; EBITDA Margins'!X20</f>
        <v>338.45900000000006</v>
      </c>
      <c r="AU17" s="329"/>
    </row>
    <row r="18" spans="1:47" s="34" customFormat="1" ht="17.25" customHeight="1" thickBot="1" x14ac:dyDescent="0.25">
      <c r="A18" s="350"/>
      <c r="B18" s="206" t="s">
        <v>93</v>
      </c>
      <c r="D18" s="35"/>
      <c r="E18" s="22">
        <f>+'Cons Op &amp; EBITDA Margins'!B22</f>
        <v>0.218</v>
      </c>
      <c r="G18" s="35"/>
      <c r="H18" s="22">
        <f>+'Cons Op &amp; EBITDA Margins'!C22</f>
        <v>0.22303346371142979</v>
      </c>
      <c r="J18" s="35"/>
      <c r="K18" s="22">
        <f>+'Cons Op &amp; EBITDA Margins'!E22</f>
        <v>0.18595890410958904</v>
      </c>
      <c r="L18" s="35"/>
      <c r="M18" s="22">
        <f>+'Cons Op &amp; EBITDA Margins'!F22</f>
        <v>0.22917341977309563</v>
      </c>
      <c r="N18" s="35"/>
      <c r="O18" s="22">
        <f>+'Cons Op &amp; EBITDA Margins'!G22</f>
        <v>0.24772727272727268</v>
      </c>
      <c r="P18" s="35"/>
      <c r="Q18" s="22">
        <f>+'Cons Op &amp; EBITDA Margins'!H22</f>
        <v>0.28333828333828326</v>
      </c>
      <c r="S18" s="35"/>
      <c r="T18" s="22">
        <f>+'Cons Op &amp; EBITDA Margins'!J22</f>
        <v>0.23829411292265681</v>
      </c>
      <c r="V18" s="35"/>
      <c r="W18" s="22">
        <f>+'Cons Op &amp; EBITDA Margins'!L22</f>
        <v>0.21622455274521898</v>
      </c>
      <c r="X18" s="35"/>
      <c r="Y18" s="22">
        <f>+'Cons Op &amp; EBITDA Margins'!M22</f>
        <v>0.22275882885602175</v>
      </c>
      <c r="Z18" s="35"/>
      <c r="AA18" s="22">
        <f>+'Cons Op &amp; EBITDA Margins'!N22</f>
        <v>0.251</v>
      </c>
      <c r="AB18" s="35"/>
      <c r="AC18" s="22">
        <f>+'Cons Op &amp; EBITDA Margins'!O22</f>
        <v>0.27900000000000003</v>
      </c>
      <c r="AE18" s="35"/>
      <c r="AF18" s="22">
        <f>+'Cons Op &amp; EBITDA Margins'!Q22</f>
        <v>0.24299999999999999</v>
      </c>
      <c r="AH18" s="35"/>
      <c r="AI18" s="22">
        <f>+'Cons Op &amp; EBITDA Margins'!S22</f>
        <v>0.19900000000000001</v>
      </c>
      <c r="AJ18" s="35"/>
      <c r="AK18" s="22">
        <f>+'Cons Op &amp; EBITDA Margins'!T22</f>
        <v>0.30599999999999999</v>
      </c>
      <c r="AL18" s="35"/>
      <c r="AM18" s="22">
        <f>+'Cons Op &amp; EBITDA Margins'!U22</f>
        <v>0.29299999999999998</v>
      </c>
      <c r="AN18" s="35"/>
      <c r="AO18" s="22">
        <f>+'Cons Op &amp; EBITDA Margins'!V22</f>
        <v>0.249</v>
      </c>
      <c r="AQ18" s="35"/>
      <c r="AR18" s="22">
        <f>+'Cons Op &amp; EBITDA Margins'!X22</f>
        <v>0.26300000000000001</v>
      </c>
      <c r="AU18" s="330"/>
    </row>
    <row r="20" spans="1:47" ht="33" outlineLevel="1" x14ac:dyDescent="0.25">
      <c r="B20" s="213" t="s">
        <v>285</v>
      </c>
      <c r="S20" s="209"/>
      <c r="T20" s="209"/>
    </row>
    <row r="21" spans="1:47" ht="16.5" outlineLevel="1" x14ac:dyDescent="0.25">
      <c r="B21" s="214"/>
      <c r="S21" s="209"/>
      <c r="T21" s="209"/>
    </row>
    <row r="22" spans="1:47" ht="148.5" outlineLevel="1" x14ac:dyDescent="0.25">
      <c r="B22" s="213" t="s">
        <v>220</v>
      </c>
      <c r="S22" s="209"/>
      <c r="T22" s="209"/>
    </row>
    <row r="23" spans="1:47" outlineLevel="1" x14ac:dyDescent="0.25">
      <c r="S23" s="209"/>
      <c r="T23" s="209"/>
    </row>
    <row r="24" spans="1:47" s="32" customFormat="1" ht="148.5" outlineLevel="1" x14ac:dyDescent="0.25">
      <c r="A24" s="207"/>
      <c r="B24" s="213" t="s">
        <v>234</v>
      </c>
      <c r="D24" s="33"/>
      <c r="E24" s="33"/>
      <c r="F24" s="33"/>
      <c r="G24" s="33"/>
      <c r="H24" s="33"/>
      <c r="I24" s="33"/>
      <c r="J24" s="33"/>
      <c r="K24" s="33"/>
      <c r="L24" s="33"/>
      <c r="M24" s="33"/>
      <c r="N24" s="33"/>
      <c r="O24" s="33"/>
      <c r="P24" s="33"/>
      <c r="Q24" s="33"/>
      <c r="R24" s="33"/>
      <c r="S24" s="33"/>
      <c r="T24" s="33"/>
      <c r="U24" s="33"/>
      <c r="V24" s="33"/>
      <c r="W24" s="33"/>
      <c r="X24" s="33"/>
      <c r="Y24" s="33"/>
      <c r="AD24" s="33"/>
      <c r="AG24" s="33"/>
      <c r="AP24" s="33"/>
      <c r="AS24" s="33"/>
      <c r="AT24" s="33"/>
    </row>
    <row r="25" spans="1:47" s="32" customFormat="1" ht="18" x14ac:dyDescent="0.25">
      <c r="A25" s="207"/>
      <c r="B25" s="207"/>
      <c r="D25" s="33"/>
      <c r="E25" s="33"/>
      <c r="F25" s="33"/>
      <c r="G25" s="33"/>
      <c r="H25" s="33"/>
      <c r="I25" s="33"/>
      <c r="J25" s="33"/>
      <c r="K25" s="33"/>
      <c r="L25" s="33"/>
      <c r="M25" s="33"/>
      <c r="N25" s="33"/>
      <c r="O25" s="33"/>
      <c r="P25" s="33"/>
      <c r="Q25" s="33"/>
      <c r="R25" s="33"/>
      <c r="S25" s="33"/>
      <c r="T25" s="33"/>
      <c r="U25" s="33"/>
      <c r="V25" s="33"/>
      <c r="W25" s="33"/>
      <c r="X25" s="33"/>
      <c r="Y25" s="33"/>
      <c r="AD25" s="33"/>
      <c r="AG25" s="33"/>
      <c r="AP25" s="33"/>
      <c r="AS25" s="33"/>
      <c r="AT25" s="33"/>
    </row>
  </sheetData>
  <mergeCells count="34">
    <mergeCell ref="A3:B3"/>
    <mergeCell ref="AE4:AF4"/>
    <mergeCell ref="A13:A18"/>
    <mergeCell ref="X4:Y4"/>
    <mergeCell ref="A5:B5"/>
    <mergeCell ref="D3:E3"/>
    <mergeCell ref="G3:H3"/>
    <mergeCell ref="J3:Q3"/>
    <mergeCell ref="S3:T3"/>
    <mergeCell ref="A8:A11"/>
    <mergeCell ref="AB4:AC4"/>
    <mergeCell ref="V3:AC3"/>
    <mergeCell ref="N4:O4"/>
    <mergeCell ref="AE3:AF3"/>
    <mergeCell ref="Z4:AA4"/>
    <mergeCell ref="P4:Q4"/>
    <mergeCell ref="S4:T4"/>
    <mergeCell ref="V4:W4"/>
    <mergeCell ref="A4:B4"/>
    <mergeCell ref="D4:E4"/>
    <mergeCell ref="G4:H4"/>
    <mergeCell ref="J4:K4"/>
    <mergeCell ref="L4:M4"/>
    <mergeCell ref="AH4:AI4"/>
    <mergeCell ref="AU13:AU14"/>
    <mergeCell ref="AU15:AU18"/>
    <mergeCell ref="AU8:AU11"/>
    <mergeCell ref="AU3:AU5"/>
    <mergeCell ref="AJ4:AK4"/>
    <mergeCell ref="AQ3:AR3"/>
    <mergeCell ref="AQ4:AR4"/>
    <mergeCell ref="AL4:AM4"/>
    <mergeCell ref="AN4:AO4"/>
    <mergeCell ref="AH3:AO3"/>
  </mergeCells>
  <pageMargins left="0.25" right="0.25" top="0.75" bottom="0.75" header="0.3" footer="0.3"/>
  <pageSetup scale="22"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0079FF"/>
    <pageSetUpPr fitToPage="1"/>
  </sheetPr>
  <dimension ref="A1:AA129"/>
  <sheetViews>
    <sheetView zoomScale="65" zoomScaleNormal="65" zoomScaleSheetLayoutView="85" workbookViewId="0">
      <pane xSplit="1" ySplit="4" topLeftCell="B5" activePane="bottomRight" state="frozen"/>
      <selection activeCell="B2" sqref="B2"/>
      <selection pane="topRight" activeCell="B2" sqref="B2"/>
      <selection pane="bottomLeft" activeCell="B2" sqref="B2"/>
      <selection pane="bottomRight" activeCell="B5" sqref="B5"/>
    </sheetView>
  </sheetViews>
  <sheetFormatPr defaultColWidth="9.140625" defaultRowHeight="11.25" outlineLevelCol="2" x14ac:dyDescent="0.2"/>
  <cols>
    <col min="1" max="1" width="57.42578125" style="4" bestFit="1" customWidth="1"/>
    <col min="2" max="2" width="20.7109375" style="4" customWidth="1" outlineLevel="1"/>
    <col min="3" max="3" width="20.7109375" style="8" customWidth="1" outlineLevel="1"/>
    <col min="4" max="4" width="1.140625" style="3" hidden="1" customWidth="1" outlineLevel="2"/>
    <col min="5" max="8" width="20.7109375" style="8" hidden="1" customWidth="1" outlineLevel="2"/>
    <col min="9" max="9" width="1.140625" style="3" hidden="1" customWidth="1" outlineLevel="2"/>
    <col min="10" max="10" width="20.7109375" style="8" customWidth="1" outlineLevel="1" collapsed="1"/>
    <col min="11" max="11" width="1.140625" style="3" customWidth="1"/>
    <col min="12" max="15" width="20.7109375" style="8" customWidth="1" outlineLevel="1"/>
    <col min="16" max="16" width="1.140625" style="3" customWidth="1"/>
    <col min="17" max="17" width="20.7109375" style="8" customWidth="1"/>
    <col min="18" max="18" width="1.28515625" style="8" customWidth="1"/>
    <col min="19" max="22" width="20.7109375" style="8" customWidth="1"/>
    <col min="23" max="23" width="1.85546875" style="3" customWidth="1"/>
    <col min="24" max="24" width="20.7109375" style="8" customWidth="1"/>
    <col min="25" max="16384" width="9.140625" style="4"/>
  </cols>
  <sheetData>
    <row r="1" spans="1:27" s="3" customFormat="1" ht="18" x14ac:dyDescent="0.25">
      <c r="A1" s="198" t="s">
        <v>177</v>
      </c>
      <c r="C1" s="8"/>
      <c r="D1" s="24"/>
      <c r="E1" s="8"/>
      <c r="F1" s="8"/>
      <c r="G1" s="8"/>
      <c r="H1" s="8"/>
      <c r="I1" s="24"/>
      <c r="J1" s="8"/>
      <c r="K1" s="24"/>
      <c r="L1" s="8"/>
      <c r="M1" s="8"/>
      <c r="N1" s="8"/>
      <c r="O1" s="8"/>
      <c r="P1" s="24"/>
      <c r="Q1" s="8"/>
      <c r="R1" s="8"/>
      <c r="S1" s="8"/>
      <c r="T1" s="8"/>
      <c r="U1" s="8"/>
      <c r="V1" s="8"/>
      <c r="X1" s="8"/>
    </row>
    <row r="2" spans="1:27" s="3" customFormat="1" x14ac:dyDescent="0.2">
      <c r="A2" s="1"/>
      <c r="B2" s="1"/>
      <c r="C2" s="9"/>
      <c r="D2" s="1"/>
      <c r="E2" s="9"/>
      <c r="F2" s="9"/>
      <c r="G2" s="9"/>
      <c r="H2" s="9"/>
      <c r="I2" s="1"/>
      <c r="J2" s="9"/>
      <c r="K2" s="1"/>
      <c r="L2" s="9"/>
      <c r="M2" s="9"/>
      <c r="N2" s="9"/>
      <c r="O2" s="9"/>
      <c r="P2" s="1"/>
      <c r="Q2" s="9"/>
      <c r="R2" s="9"/>
      <c r="S2" s="9"/>
      <c r="T2" s="9"/>
      <c r="U2" s="9"/>
      <c r="V2" s="9"/>
      <c r="W2" s="1"/>
      <c r="X2" s="9"/>
    </row>
    <row r="3" spans="1:27" s="24" customFormat="1" ht="30" customHeight="1" x14ac:dyDescent="0.25">
      <c r="A3" s="83"/>
      <c r="B3" s="98" t="s">
        <v>31</v>
      </c>
      <c r="C3" s="81" t="s">
        <v>31</v>
      </c>
      <c r="D3" s="79"/>
      <c r="E3" s="354" t="s">
        <v>1</v>
      </c>
      <c r="F3" s="354"/>
      <c r="G3" s="354"/>
      <c r="H3" s="354"/>
      <c r="I3" s="79"/>
      <c r="J3" s="81" t="s">
        <v>31</v>
      </c>
      <c r="K3" s="79"/>
      <c r="L3" s="354" t="s">
        <v>1</v>
      </c>
      <c r="M3" s="354"/>
      <c r="N3" s="354"/>
      <c r="O3" s="354"/>
      <c r="P3" s="79"/>
      <c r="Q3" s="262" t="s">
        <v>31</v>
      </c>
      <c r="R3" s="99"/>
      <c r="S3" s="354" t="s">
        <v>1</v>
      </c>
      <c r="T3" s="354"/>
      <c r="U3" s="354"/>
      <c r="V3" s="354"/>
      <c r="X3" s="302" t="s">
        <v>31</v>
      </c>
      <c r="Y3" s="99"/>
      <c r="Z3" s="99"/>
      <c r="AA3" s="99"/>
    </row>
    <row r="4" spans="1:27" s="24" customFormat="1" ht="30" customHeight="1" x14ac:dyDescent="0.25">
      <c r="A4" s="83" t="s">
        <v>0</v>
      </c>
      <c r="B4" s="100" t="s">
        <v>155</v>
      </c>
      <c r="C4" s="101" t="s">
        <v>159</v>
      </c>
      <c r="D4" s="85"/>
      <c r="E4" s="84" t="s">
        <v>156</v>
      </c>
      <c r="F4" s="84" t="s">
        <v>157</v>
      </c>
      <c r="G4" s="84" t="s">
        <v>158</v>
      </c>
      <c r="H4" s="84" t="s">
        <v>100</v>
      </c>
      <c r="I4" s="85"/>
      <c r="J4" s="84" t="s">
        <v>100</v>
      </c>
      <c r="K4" s="85"/>
      <c r="L4" s="84" t="s">
        <v>148</v>
      </c>
      <c r="M4" s="84" t="s">
        <v>149</v>
      </c>
      <c r="N4" s="84" t="s">
        <v>109</v>
      </c>
      <c r="O4" s="84" t="s">
        <v>314</v>
      </c>
      <c r="P4" s="85"/>
      <c r="Q4" s="84" t="s">
        <v>314</v>
      </c>
      <c r="R4" s="99"/>
      <c r="S4" s="84" t="s">
        <v>327</v>
      </c>
      <c r="T4" s="84" t="s">
        <v>330</v>
      </c>
      <c r="U4" s="84" t="s">
        <v>338</v>
      </c>
      <c r="V4" s="84" t="s">
        <v>346</v>
      </c>
      <c r="X4" s="84" t="s">
        <v>346</v>
      </c>
      <c r="Y4" s="99"/>
      <c r="Z4" s="99"/>
      <c r="AA4" s="99"/>
    </row>
    <row r="5" spans="1:27" s="52" customFormat="1" ht="16.5" x14ac:dyDescent="0.25">
      <c r="A5" s="49"/>
      <c r="B5" s="49"/>
      <c r="C5" s="47"/>
      <c r="D5" s="51"/>
      <c r="E5" s="47"/>
      <c r="F5" s="47"/>
      <c r="G5" s="47"/>
      <c r="H5" s="47"/>
      <c r="I5" s="51"/>
      <c r="J5" s="47"/>
      <c r="K5" s="51"/>
      <c r="L5" s="47"/>
      <c r="M5" s="47"/>
      <c r="N5" s="47"/>
      <c r="O5" s="47"/>
      <c r="P5" s="51"/>
      <c r="Q5" s="47"/>
      <c r="R5" s="47"/>
      <c r="S5" s="47"/>
      <c r="T5" s="47"/>
      <c r="U5" s="47"/>
      <c r="V5" s="47"/>
      <c r="X5" s="47"/>
    </row>
    <row r="6" spans="1:27" s="52" customFormat="1" ht="16.5" x14ac:dyDescent="0.25">
      <c r="A6" s="65" t="s">
        <v>60</v>
      </c>
      <c r="B6" s="65"/>
      <c r="C6" s="47"/>
      <c r="D6" s="55"/>
      <c r="F6" s="47"/>
      <c r="G6" s="47"/>
      <c r="H6" s="47"/>
      <c r="I6" s="55"/>
      <c r="J6" s="47"/>
      <c r="K6" s="55"/>
      <c r="M6" s="47"/>
      <c r="N6" s="47"/>
      <c r="O6" s="47"/>
      <c r="P6" s="55"/>
      <c r="Q6" s="47"/>
      <c r="R6" s="47"/>
      <c r="S6" s="47"/>
      <c r="T6" s="47"/>
      <c r="U6" s="47"/>
      <c r="V6" s="47"/>
      <c r="W6" s="47"/>
      <c r="X6" s="47"/>
    </row>
    <row r="7" spans="1:27" s="52" customFormat="1" ht="16.5" x14ac:dyDescent="0.25">
      <c r="A7" s="58" t="s">
        <v>61</v>
      </c>
      <c r="B7" s="56">
        <v>79.875</v>
      </c>
      <c r="C7" s="56">
        <v>84.4</v>
      </c>
      <c r="D7" s="60"/>
      <c r="E7" s="56">
        <v>23.4</v>
      </c>
      <c r="F7" s="56">
        <v>23.3</v>
      </c>
      <c r="G7" s="56">
        <v>24.2</v>
      </c>
      <c r="H7" s="56">
        <v>24</v>
      </c>
      <c r="I7" s="60"/>
      <c r="J7" s="56">
        <v>94.9</v>
      </c>
      <c r="K7" s="60"/>
      <c r="L7" s="56">
        <v>26.5</v>
      </c>
      <c r="M7" s="56">
        <v>26.873999999999999</v>
      </c>
      <c r="N7" s="56">
        <v>25.134</v>
      </c>
      <c r="O7" s="56">
        <v>22.547999999999998</v>
      </c>
      <c r="P7" s="263"/>
      <c r="Q7" s="56">
        <v>101.002</v>
      </c>
      <c r="R7" s="47"/>
      <c r="S7" s="56">
        <v>23.901</v>
      </c>
      <c r="T7" s="56">
        <v>22.193999999999999</v>
      </c>
      <c r="U7" s="56">
        <v>24.318000000000001</v>
      </c>
      <c r="V7" s="56">
        <v>25.372</v>
      </c>
      <c r="W7" s="47"/>
      <c r="X7" s="56">
        <f>+S7+T7+U7+V7</f>
        <v>95.784999999999997</v>
      </c>
    </row>
    <row r="8" spans="1:27" s="52" customFormat="1" ht="16.5" x14ac:dyDescent="0.25">
      <c r="A8" s="58" t="s">
        <v>126</v>
      </c>
      <c r="B8" s="61">
        <v>7.774</v>
      </c>
      <c r="C8" s="61">
        <v>8.6</v>
      </c>
      <c r="D8" s="60"/>
      <c r="E8" s="61">
        <v>1</v>
      </c>
      <c r="F8" s="61">
        <v>2</v>
      </c>
      <c r="G8" s="61">
        <v>1.8</v>
      </c>
      <c r="H8" s="61">
        <v>1.7</v>
      </c>
      <c r="I8" s="60"/>
      <c r="J8" s="61">
        <v>6.5</v>
      </c>
      <c r="K8" s="60"/>
      <c r="L8" s="61">
        <v>1.7</v>
      </c>
      <c r="M8" s="61">
        <v>2.1819999999999999</v>
      </c>
      <c r="N8" s="61">
        <v>1.948</v>
      </c>
      <c r="O8" s="61">
        <v>2.9350000000000001</v>
      </c>
      <c r="P8" s="263"/>
      <c r="Q8" s="61">
        <v>8.7539999999999996</v>
      </c>
      <c r="R8" s="47"/>
      <c r="S8" s="61">
        <v>1.528</v>
      </c>
      <c r="T8" s="61">
        <v>1.9330000000000001</v>
      </c>
      <c r="U8" s="61">
        <v>1.897</v>
      </c>
      <c r="V8" s="61">
        <v>0.879</v>
      </c>
      <c r="W8" s="47"/>
      <c r="X8" s="61">
        <f>+S8+T8+U8+V8</f>
        <v>6.2370000000000001</v>
      </c>
    </row>
    <row r="9" spans="1:27" s="52" customFormat="1" ht="16.5" x14ac:dyDescent="0.25">
      <c r="A9" s="58" t="s">
        <v>127</v>
      </c>
      <c r="B9" s="104">
        <v>10.574</v>
      </c>
      <c r="C9" s="104">
        <v>12.2</v>
      </c>
      <c r="D9" s="60"/>
      <c r="E9" s="104">
        <v>4.3</v>
      </c>
      <c r="F9" s="104">
        <v>3.7</v>
      </c>
      <c r="G9" s="104">
        <v>3.7789999999999999</v>
      </c>
      <c r="H9" s="104">
        <v>3.5</v>
      </c>
      <c r="I9" s="60"/>
      <c r="J9" s="104">
        <v>15.2</v>
      </c>
      <c r="K9" s="60"/>
      <c r="L9" s="104">
        <v>4</v>
      </c>
      <c r="M9" s="104">
        <v>3.944</v>
      </c>
      <c r="N9" s="104">
        <v>4.4039999999999999</v>
      </c>
      <c r="O9" s="104">
        <v>4.9130000000000003</v>
      </c>
      <c r="P9" s="263"/>
      <c r="Q9" s="104">
        <v>17.309000000000001</v>
      </c>
      <c r="R9" s="105"/>
      <c r="S9" s="104">
        <v>4.6900000000000004</v>
      </c>
      <c r="T9" s="104">
        <v>4.41</v>
      </c>
      <c r="U9" s="104">
        <v>5.1189999999999998</v>
      </c>
      <c r="V9" s="104">
        <v>4.7350000000000003</v>
      </c>
      <c r="W9" s="105"/>
      <c r="X9" s="104">
        <f>+S9+T9+U9+V9</f>
        <v>18.954000000000001</v>
      </c>
    </row>
    <row r="10" spans="1:27" s="52" customFormat="1" ht="16.5" x14ac:dyDescent="0.25">
      <c r="A10" s="65" t="s">
        <v>62</v>
      </c>
      <c r="B10" s="68">
        <f>SUM(B7:B9)</f>
        <v>98.222999999999999</v>
      </c>
      <c r="C10" s="68">
        <f>SUM(C7:C9)</f>
        <v>105.2</v>
      </c>
      <c r="D10" s="67"/>
      <c r="E10" s="68">
        <f>SUM(E7:E9)</f>
        <v>28.7</v>
      </c>
      <c r="F10" s="68">
        <f>SUM(F7:F9)</f>
        <v>29</v>
      </c>
      <c r="G10" s="68">
        <f>SUM(G7:G9)</f>
        <v>29.779</v>
      </c>
      <c r="H10" s="68">
        <f>SUM(H7:H9)</f>
        <v>29.2</v>
      </c>
      <c r="I10" s="67"/>
      <c r="J10" s="68">
        <f>SUM(J7:J9)</f>
        <v>116.60000000000001</v>
      </c>
      <c r="K10" s="67"/>
      <c r="L10" s="68">
        <f>SUM(L7:L9)</f>
        <v>32.200000000000003</v>
      </c>
      <c r="M10" s="68">
        <f>SUM(M7:M9)</f>
        <v>33</v>
      </c>
      <c r="N10" s="68">
        <f>SUM(N7:N9)</f>
        <v>31.486000000000001</v>
      </c>
      <c r="O10" s="68">
        <f>SUM(O7:O9)</f>
        <v>30.395999999999997</v>
      </c>
      <c r="P10" s="264"/>
      <c r="Q10" s="68">
        <f>SUM(Q7:Q9)</f>
        <v>127.065</v>
      </c>
      <c r="R10" s="106"/>
      <c r="S10" s="68">
        <f>SUM(S7:S9)</f>
        <v>30.119</v>
      </c>
      <c r="T10" s="68">
        <f>SUM(T7:T9)</f>
        <v>28.536999999999999</v>
      </c>
      <c r="U10" s="68">
        <f>SUM(U7:U9)</f>
        <v>31.334</v>
      </c>
      <c r="V10" s="68">
        <f>SUM(V7:V9)</f>
        <v>30.986000000000001</v>
      </c>
      <c r="W10" s="106"/>
      <c r="X10" s="68">
        <f>SUM(X7:X9)</f>
        <v>120.976</v>
      </c>
    </row>
    <row r="11" spans="1:27" s="52" customFormat="1" ht="16.5" x14ac:dyDescent="0.25">
      <c r="A11" s="65" t="s">
        <v>107</v>
      </c>
      <c r="B11" s="112">
        <v>0.13900000000000001</v>
      </c>
      <c r="C11" s="112">
        <v>0.14199999999999999</v>
      </c>
      <c r="D11" s="67"/>
      <c r="E11" s="112">
        <v>0.154</v>
      </c>
      <c r="F11" s="112">
        <v>0.14399999999999999</v>
      </c>
      <c r="G11" s="112">
        <v>0.151</v>
      </c>
      <c r="H11" s="112">
        <v>0.13800000000000001</v>
      </c>
      <c r="I11" s="67"/>
      <c r="J11" s="112">
        <v>0.14599999999999999</v>
      </c>
      <c r="K11" s="67"/>
      <c r="L11" s="112">
        <v>0.155</v>
      </c>
      <c r="M11" s="112">
        <v>0.156</v>
      </c>
      <c r="N11" s="112">
        <v>0.14399999999999999</v>
      </c>
      <c r="O11" s="112">
        <v>0.14499999999999999</v>
      </c>
      <c r="P11" s="67"/>
      <c r="Q11" s="112">
        <v>0.15</v>
      </c>
      <c r="R11" s="106"/>
      <c r="S11" s="112">
        <v>0.16200000000000001</v>
      </c>
      <c r="T11" s="112">
        <v>0.14000000000000001</v>
      </c>
      <c r="U11" s="112">
        <v>0.14599999999999999</v>
      </c>
      <c r="V11" s="112">
        <v>0.13800000000000001</v>
      </c>
      <c r="W11" s="106"/>
      <c r="X11" s="112">
        <v>0.14599999999999999</v>
      </c>
    </row>
    <row r="12" spans="1:27" s="52" customFormat="1" ht="16.5" x14ac:dyDescent="0.25">
      <c r="A12" s="47"/>
      <c r="D12" s="60"/>
      <c r="I12" s="60"/>
      <c r="K12" s="60"/>
      <c r="P12" s="60"/>
      <c r="R12" s="47"/>
      <c r="W12" s="47"/>
    </row>
    <row r="13" spans="1:27" s="52" customFormat="1" ht="16.5" x14ac:dyDescent="0.25">
      <c r="A13" s="58" t="s">
        <v>126</v>
      </c>
      <c r="B13" s="61">
        <f>+-B8</f>
        <v>-7.774</v>
      </c>
      <c r="C13" s="61">
        <f>+-C8</f>
        <v>-8.6</v>
      </c>
      <c r="D13" s="60"/>
      <c r="E13" s="61">
        <f>+-E8</f>
        <v>-1</v>
      </c>
      <c r="F13" s="61">
        <f>+-F8</f>
        <v>-2</v>
      </c>
      <c r="G13" s="61">
        <f>+-G8</f>
        <v>-1.8</v>
      </c>
      <c r="H13" s="61">
        <f>+-H8</f>
        <v>-1.7</v>
      </c>
      <c r="I13" s="60"/>
      <c r="J13" s="61">
        <f>+-J8</f>
        <v>-6.5</v>
      </c>
      <c r="K13" s="60"/>
      <c r="L13" s="61">
        <f>+-L8</f>
        <v>-1.7</v>
      </c>
      <c r="M13" s="61">
        <v>-2.1819999999999999</v>
      </c>
      <c r="N13" s="61">
        <v>-1.948</v>
      </c>
      <c r="O13" s="61">
        <v>-2.9350000000000001</v>
      </c>
      <c r="P13" s="60"/>
      <c r="Q13" s="61">
        <v>-8.7539999999999996</v>
      </c>
      <c r="R13" s="106"/>
      <c r="S13" s="61">
        <f>-S8</f>
        <v>-1.528</v>
      </c>
      <c r="T13" s="61">
        <f>-T8</f>
        <v>-1.9330000000000001</v>
      </c>
      <c r="U13" s="61">
        <f>-U8</f>
        <v>-1.897</v>
      </c>
      <c r="V13" s="61">
        <f>-V8</f>
        <v>-0.879</v>
      </c>
      <c r="W13" s="106"/>
      <c r="X13" s="61">
        <f>-X8</f>
        <v>-6.2370000000000001</v>
      </c>
    </row>
    <row r="14" spans="1:27" s="52" customFormat="1" ht="16.5" x14ac:dyDescent="0.25">
      <c r="A14" s="58" t="s">
        <v>128</v>
      </c>
      <c r="B14" s="61">
        <v>-0.14000000000000001</v>
      </c>
      <c r="C14" s="61">
        <v>0</v>
      </c>
      <c r="D14" s="60"/>
      <c r="E14" s="61">
        <v>0</v>
      </c>
      <c r="F14" s="61">
        <v>0</v>
      </c>
      <c r="G14" s="61">
        <v>0</v>
      </c>
      <c r="H14" s="61">
        <v>-0.1</v>
      </c>
      <c r="I14" s="105"/>
      <c r="J14" s="61">
        <v>-0.1</v>
      </c>
      <c r="K14" s="60"/>
      <c r="L14" s="61">
        <v>-0.1</v>
      </c>
      <c r="M14" s="61">
        <v>-0.14099999999999999</v>
      </c>
      <c r="N14" s="61">
        <v>-7.9000000000000001E-2</v>
      </c>
      <c r="O14" s="61">
        <v>-0.20200000000000001</v>
      </c>
      <c r="P14" s="60"/>
      <c r="Q14" s="61">
        <v>-0.54600000000000004</v>
      </c>
      <c r="R14" s="106"/>
      <c r="S14" s="61">
        <v>-0.193</v>
      </c>
      <c r="T14" s="61">
        <v>-7.8E-2</v>
      </c>
      <c r="U14" s="61">
        <v>-1.7999999999999999E-2</v>
      </c>
      <c r="V14" s="61">
        <v>-2.4E-2</v>
      </c>
      <c r="W14" s="106"/>
      <c r="X14" s="61">
        <f>+S14+T14+U14+V14</f>
        <v>-0.31300000000000006</v>
      </c>
    </row>
    <row r="15" spans="1:27" s="47" customFormat="1" ht="16.5" x14ac:dyDescent="0.25">
      <c r="A15" s="58" t="s">
        <v>129</v>
      </c>
      <c r="B15" s="121">
        <v>-1.1679999999999999</v>
      </c>
      <c r="C15" s="121">
        <v>-0.6</v>
      </c>
      <c r="D15" s="60"/>
      <c r="E15" s="121">
        <v>0</v>
      </c>
      <c r="F15" s="121">
        <v>0</v>
      </c>
      <c r="G15" s="121">
        <v>-0.2</v>
      </c>
      <c r="H15" s="121">
        <v>-0.1</v>
      </c>
      <c r="I15" s="60"/>
      <c r="J15" s="121">
        <v>-0.3</v>
      </c>
      <c r="K15" s="60"/>
      <c r="L15" s="121">
        <v>-0.3</v>
      </c>
      <c r="M15" s="121">
        <v>-0.08</v>
      </c>
      <c r="N15" s="121">
        <v>-0.20399999999999999</v>
      </c>
      <c r="O15" s="121">
        <v>-0.27</v>
      </c>
      <c r="P15" s="60"/>
      <c r="Q15" s="121">
        <v>-0.85299999999999998</v>
      </c>
      <c r="S15" s="121">
        <v>-0.60599999999999998</v>
      </c>
      <c r="T15" s="121">
        <v>-0.20599999999999999</v>
      </c>
      <c r="U15" s="121">
        <v>-0.17199999999999999</v>
      </c>
      <c r="V15" s="121">
        <v>-0.13500000000000001</v>
      </c>
      <c r="X15" s="121">
        <f>+S15+T15+U15+V15</f>
        <v>-1.119</v>
      </c>
    </row>
    <row r="16" spans="1:27" s="47" customFormat="1" ht="16.5" x14ac:dyDescent="0.25">
      <c r="A16" s="58" t="s">
        <v>315</v>
      </c>
      <c r="B16" s="121">
        <v>0</v>
      </c>
      <c r="C16" s="121">
        <v>0</v>
      </c>
      <c r="D16" s="60"/>
      <c r="E16" s="121">
        <v>0</v>
      </c>
      <c r="F16" s="121">
        <v>0</v>
      </c>
      <c r="G16" s="121">
        <v>0</v>
      </c>
      <c r="H16" s="121">
        <v>0</v>
      </c>
      <c r="I16" s="60"/>
      <c r="J16" s="121">
        <v>0</v>
      </c>
      <c r="K16" s="60"/>
      <c r="L16" s="121">
        <v>0</v>
      </c>
      <c r="M16" s="121">
        <v>0</v>
      </c>
      <c r="N16" s="121">
        <v>0</v>
      </c>
      <c r="O16" s="121">
        <v>0</v>
      </c>
      <c r="P16" s="60"/>
      <c r="Q16" s="121">
        <v>0</v>
      </c>
      <c r="S16" s="121">
        <v>0</v>
      </c>
      <c r="T16" s="121">
        <v>0</v>
      </c>
      <c r="U16" s="121">
        <v>-6.0999999999999999E-2</v>
      </c>
      <c r="V16" s="121">
        <v>-0.17799999999999999</v>
      </c>
      <c r="X16" s="121">
        <f>+S16+T16+U16+V16</f>
        <v>-0.23899999999999999</v>
      </c>
    </row>
    <row r="17" spans="1:24" s="52" customFormat="1" ht="16.5" x14ac:dyDescent="0.25">
      <c r="A17" s="58" t="s">
        <v>331</v>
      </c>
      <c r="B17" s="104">
        <v>0</v>
      </c>
      <c r="C17" s="104">
        <v>0</v>
      </c>
      <c r="D17" s="60"/>
      <c r="E17" s="104">
        <v>0</v>
      </c>
      <c r="F17" s="104">
        <v>0</v>
      </c>
      <c r="G17" s="104">
        <v>0</v>
      </c>
      <c r="H17" s="104">
        <v>0</v>
      </c>
      <c r="I17" s="60"/>
      <c r="J17" s="104">
        <v>0</v>
      </c>
      <c r="K17" s="60"/>
      <c r="L17" s="104">
        <v>0</v>
      </c>
      <c r="M17" s="104">
        <v>0</v>
      </c>
      <c r="N17" s="104">
        <v>0</v>
      </c>
      <c r="O17" s="104">
        <v>0</v>
      </c>
      <c r="P17" s="60"/>
      <c r="Q17" s="104">
        <v>0</v>
      </c>
      <c r="R17" s="47"/>
      <c r="S17" s="104">
        <v>0</v>
      </c>
      <c r="T17" s="104">
        <v>-4.4999999999999998E-2</v>
      </c>
      <c r="U17" s="104">
        <v>3.7999999999999999E-2</v>
      </c>
      <c r="V17" s="104">
        <v>-1.4999999999999999E-2</v>
      </c>
      <c r="W17" s="47"/>
      <c r="X17" s="104">
        <f>+S17+T17+U17+V17</f>
        <v>-2.1999999999999999E-2</v>
      </c>
    </row>
    <row r="18" spans="1:24" s="52" customFormat="1" ht="33" x14ac:dyDescent="0.25">
      <c r="A18" s="114" t="s">
        <v>227</v>
      </c>
      <c r="B18" s="115">
        <f>SUM(B13:B17)+B10</f>
        <v>89.141000000000005</v>
      </c>
      <c r="C18" s="115">
        <f>SUM(C13:C17)+C10</f>
        <v>96</v>
      </c>
      <c r="D18" s="67"/>
      <c r="E18" s="115">
        <f>SUM(E13:E17)+E10</f>
        <v>27.7</v>
      </c>
      <c r="F18" s="115">
        <f>SUM(F13:F17)+F10</f>
        <v>27</v>
      </c>
      <c r="G18" s="115">
        <f>SUM(G13:G17)+G10</f>
        <v>27.779</v>
      </c>
      <c r="H18" s="115">
        <f>SUM(H13:H17)+H10</f>
        <v>27.3</v>
      </c>
      <c r="I18" s="67"/>
      <c r="J18" s="115">
        <f>SUM(J13:J17)+J10</f>
        <v>109.7</v>
      </c>
      <c r="K18" s="67"/>
      <c r="L18" s="115">
        <f>SUM(L13:L17)+L10</f>
        <v>30.1</v>
      </c>
      <c r="M18" s="115">
        <f>SUM(M13:M17)+M10</f>
        <v>30.597000000000001</v>
      </c>
      <c r="N18" s="115">
        <f>SUM(N13:N17)+N10</f>
        <v>29.254999999999999</v>
      </c>
      <c r="O18" s="115">
        <f>SUM(O13:O17)+O10</f>
        <v>26.988999999999997</v>
      </c>
      <c r="P18" s="67"/>
      <c r="Q18" s="115">
        <f>SUM(Q13:Q17)+Q10</f>
        <v>116.91200000000001</v>
      </c>
      <c r="R18" s="47"/>
      <c r="S18" s="115">
        <f>SUM(S13:S17)+S10</f>
        <v>27.792000000000002</v>
      </c>
      <c r="T18" s="115">
        <f>SUM(T13:T17)+T10</f>
        <v>26.274999999999999</v>
      </c>
      <c r="U18" s="115">
        <f>SUM(U13:U17)+U10</f>
        <v>29.224</v>
      </c>
      <c r="V18" s="115">
        <f>SUM(V13:V17)+V10</f>
        <v>29.755000000000003</v>
      </c>
      <c r="W18" s="115"/>
      <c r="X18" s="115">
        <f>SUM(X13:X17)+X10</f>
        <v>113.04599999999999</v>
      </c>
    </row>
    <row r="19" spans="1:24" s="52" customFormat="1" ht="16.5" x14ac:dyDescent="0.25">
      <c r="A19" s="65" t="s">
        <v>108</v>
      </c>
      <c r="B19" s="112">
        <v>0.124</v>
      </c>
      <c r="C19" s="112">
        <v>0.127</v>
      </c>
      <c r="D19" s="67"/>
      <c r="E19" s="112">
        <v>0.14599999999999999</v>
      </c>
      <c r="F19" s="112">
        <v>0.13300000000000001</v>
      </c>
      <c r="G19" s="112">
        <v>0.13800000000000001</v>
      </c>
      <c r="H19" s="112">
        <v>0.126</v>
      </c>
      <c r="I19" s="67"/>
      <c r="J19" s="112">
        <v>0.13500000000000001</v>
      </c>
      <c r="K19" s="67"/>
      <c r="L19" s="112">
        <v>0.13900000000000001</v>
      </c>
      <c r="M19" s="112">
        <v>0.14000000000000001</v>
      </c>
      <c r="N19" s="112">
        <v>0.13100000000000001</v>
      </c>
      <c r="O19" s="112">
        <v>0.126</v>
      </c>
      <c r="P19" s="67"/>
      <c r="Q19" s="112">
        <v>0.13400000000000001</v>
      </c>
      <c r="R19" s="47"/>
      <c r="S19" s="112">
        <v>0.14699999999999999</v>
      </c>
      <c r="T19" s="112">
        <v>0.127</v>
      </c>
      <c r="U19" s="112">
        <v>0.13400000000000001</v>
      </c>
      <c r="V19" s="112">
        <v>0.13100000000000001</v>
      </c>
      <c r="W19" s="47"/>
      <c r="X19" s="112">
        <v>0.13400000000000001</v>
      </c>
    </row>
    <row r="20" spans="1:24" s="52" customFormat="1" ht="16.5" x14ac:dyDescent="0.25">
      <c r="A20" s="114"/>
      <c r="B20" s="68"/>
      <c r="C20" s="68"/>
      <c r="D20" s="60"/>
      <c r="E20" s="68"/>
      <c r="F20" s="68"/>
      <c r="G20" s="68"/>
      <c r="H20" s="68"/>
      <c r="I20" s="60"/>
      <c r="J20" s="68"/>
      <c r="K20" s="60"/>
      <c r="L20" s="68"/>
      <c r="M20" s="68"/>
      <c r="N20" s="68"/>
      <c r="O20" s="68"/>
      <c r="P20" s="60"/>
      <c r="Q20" s="68"/>
      <c r="R20" s="47"/>
      <c r="S20" s="68"/>
      <c r="T20" s="68"/>
      <c r="U20" s="68"/>
      <c r="V20" s="68"/>
      <c r="W20" s="47"/>
      <c r="X20" s="68"/>
    </row>
    <row r="21" spans="1:24" s="52" customFormat="1" ht="16.5" x14ac:dyDescent="0.25">
      <c r="A21" s="47"/>
      <c r="D21" s="60"/>
      <c r="I21" s="60"/>
      <c r="K21" s="60"/>
      <c r="P21" s="60"/>
      <c r="R21" s="47"/>
      <c r="W21" s="47"/>
    </row>
    <row r="22" spans="1:24" s="52" customFormat="1" ht="16.5" x14ac:dyDescent="0.25">
      <c r="A22" s="65" t="s">
        <v>63</v>
      </c>
      <c r="D22" s="60"/>
      <c r="I22" s="60"/>
      <c r="K22" s="60"/>
      <c r="P22" s="60"/>
      <c r="R22" s="47"/>
      <c r="W22" s="47"/>
    </row>
    <row r="23" spans="1:24" s="52" customFormat="1" ht="16.5" x14ac:dyDescent="0.25">
      <c r="A23" s="58" t="s">
        <v>61</v>
      </c>
      <c r="B23" s="56">
        <v>147.99700000000001</v>
      </c>
      <c r="C23" s="56">
        <v>154.999</v>
      </c>
      <c r="D23" s="60"/>
      <c r="E23" s="56">
        <v>39.247999999999998</v>
      </c>
      <c r="F23" s="56">
        <v>39.747999999999998</v>
      </c>
      <c r="G23" s="56">
        <v>38.338000000000001</v>
      </c>
      <c r="H23" s="56">
        <v>41.869</v>
      </c>
      <c r="I23" s="60"/>
      <c r="J23" s="56">
        <v>159.19800000000001</v>
      </c>
      <c r="K23" s="60"/>
      <c r="L23" s="56">
        <v>46.198</v>
      </c>
      <c r="M23" s="56">
        <v>48.073999999999998</v>
      </c>
      <c r="N23" s="56">
        <v>44.155000000000001</v>
      </c>
      <c r="O23" s="56">
        <v>41.011000000000003</v>
      </c>
      <c r="P23" s="60"/>
      <c r="Q23" s="56">
        <v>179.44</v>
      </c>
      <c r="R23" s="47"/>
      <c r="S23" s="56">
        <v>40.143999999999998</v>
      </c>
      <c r="T23" s="56">
        <v>36.307000000000002</v>
      </c>
      <c r="U23" s="56">
        <v>37.945999999999998</v>
      </c>
      <c r="V23" s="56">
        <v>45.02</v>
      </c>
      <c r="W23" s="47"/>
      <c r="X23" s="56">
        <f>+S23+T23+U23+V23</f>
        <v>159.417</v>
      </c>
    </row>
    <row r="24" spans="1:24" s="52" customFormat="1" ht="16.5" x14ac:dyDescent="0.25">
      <c r="A24" s="58" t="s">
        <v>126</v>
      </c>
      <c r="B24" s="61">
        <v>30.317</v>
      </c>
      <c r="C24" s="61">
        <v>31.329000000000001</v>
      </c>
      <c r="D24" s="67"/>
      <c r="E24" s="61">
        <v>9.2520000000000007</v>
      </c>
      <c r="F24" s="61">
        <v>8.1809999999999992</v>
      </c>
      <c r="G24" s="61">
        <v>8.1890000000000001</v>
      </c>
      <c r="H24" s="61">
        <v>7.82</v>
      </c>
      <c r="I24" s="67"/>
      <c r="J24" s="61">
        <v>33.286000000000001</v>
      </c>
      <c r="K24" s="67"/>
      <c r="L24" s="61">
        <v>8.5470000000000006</v>
      </c>
      <c r="M24" s="61">
        <v>9.891</v>
      </c>
      <c r="N24" s="61">
        <v>9.0009999999999994</v>
      </c>
      <c r="O24" s="61">
        <v>12.39</v>
      </c>
      <c r="P24" s="67"/>
      <c r="Q24" s="61">
        <v>39.829000000000001</v>
      </c>
      <c r="R24" s="47"/>
      <c r="S24" s="61">
        <v>7.1159999999999997</v>
      </c>
      <c r="T24" s="61">
        <v>8.3079999999999998</v>
      </c>
      <c r="U24" s="61">
        <v>9.6709999999999994</v>
      </c>
      <c r="V24" s="61">
        <v>5.5289999999999999</v>
      </c>
      <c r="W24" s="47"/>
      <c r="X24" s="61">
        <f>+S24+T24+U24+V24</f>
        <v>30.623999999999999</v>
      </c>
    </row>
    <row r="25" spans="1:24" s="52" customFormat="1" ht="16.5" x14ac:dyDescent="0.25">
      <c r="A25" s="58" t="s">
        <v>127</v>
      </c>
      <c r="B25" s="104">
        <v>93.807000000000002</v>
      </c>
      <c r="C25" s="104">
        <v>90.628</v>
      </c>
      <c r="D25" s="47"/>
      <c r="E25" s="104">
        <v>22.712</v>
      </c>
      <c r="F25" s="104">
        <v>20.923999999999999</v>
      </c>
      <c r="G25" s="104">
        <v>19.934999999999999</v>
      </c>
      <c r="H25" s="104">
        <v>25.375</v>
      </c>
      <c r="I25" s="47"/>
      <c r="J25" s="104">
        <v>88.558000000000007</v>
      </c>
      <c r="K25" s="47"/>
      <c r="L25" s="104">
        <v>25.332999999999998</v>
      </c>
      <c r="M25" s="104">
        <v>26.478999999999999</v>
      </c>
      <c r="N25" s="104">
        <v>24.686</v>
      </c>
      <c r="O25" s="104">
        <v>25.794</v>
      </c>
      <c r="P25" s="47"/>
      <c r="Q25" s="104">
        <v>102.29300000000001</v>
      </c>
      <c r="R25" s="105"/>
      <c r="S25" s="104">
        <v>25.001999999999999</v>
      </c>
      <c r="T25" s="104">
        <v>25.433</v>
      </c>
      <c r="U25" s="104">
        <v>29.053000000000001</v>
      </c>
      <c r="V25" s="104">
        <v>44.030999999999999</v>
      </c>
      <c r="W25" s="105"/>
      <c r="X25" s="104">
        <f>+S25+T25+U25+V25</f>
        <v>123.51900000000001</v>
      </c>
    </row>
    <row r="26" spans="1:24" s="52" customFormat="1" ht="33" x14ac:dyDescent="0.25">
      <c r="A26" s="114" t="s">
        <v>64</v>
      </c>
      <c r="B26" s="115">
        <f>SUM(B23:B25)</f>
        <v>272.12100000000004</v>
      </c>
      <c r="C26" s="115">
        <f>SUM(C23:C25)</f>
        <v>276.95600000000002</v>
      </c>
      <c r="D26" s="47"/>
      <c r="E26" s="115">
        <f>SUM(E23:E25)</f>
        <v>71.212000000000003</v>
      </c>
      <c r="F26" s="115">
        <f>SUM(F23:F25)</f>
        <v>68.852999999999994</v>
      </c>
      <c r="G26" s="115">
        <f>SUM(G23:G25)</f>
        <v>66.462000000000003</v>
      </c>
      <c r="H26" s="115">
        <f>SUM(H23:H25)</f>
        <v>75.063999999999993</v>
      </c>
      <c r="I26" s="47"/>
      <c r="J26" s="115">
        <f>SUM(J23:J25)</f>
        <v>281.04200000000003</v>
      </c>
      <c r="K26" s="47"/>
      <c r="L26" s="115">
        <f>SUM(L23:L25)</f>
        <v>80.078000000000003</v>
      </c>
      <c r="M26" s="115">
        <f>SUM(M23:M25)</f>
        <v>84.443999999999988</v>
      </c>
      <c r="N26" s="115">
        <f>SUM(N23:N25)</f>
        <v>77.841999999999999</v>
      </c>
      <c r="O26" s="115">
        <f>SUM(O23:O25)</f>
        <v>79.195000000000007</v>
      </c>
      <c r="P26" s="47"/>
      <c r="Q26" s="115">
        <f>SUM(Q23:Q25)</f>
        <v>321.56200000000001</v>
      </c>
      <c r="R26" s="106"/>
      <c r="S26" s="115">
        <f>SUM(S23:S25)</f>
        <v>72.262</v>
      </c>
      <c r="T26" s="115">
        <f>SUM(T23:T25)</f>
        <v>70.048000000000002</v>
      </c>
      <c r="U26" s="115">
        <f>SUM(U23:U25)</f>
        <v>76.67</v>
      </c>
      <c r="V26" s="115">
        <f>SUM(V23:V25)</f>
        <v>94.580000000000013</v>
      </c>
      <c r="W26" s="106"/>
      <c r="X26" s="115">
        <f>SUM(X23:X25)</f>
        <v>313.56</v>
      </c>
    </row>
    <row r="27" spans="1:24" s="52" customFormat="1" ht="16.5" x14ac:dyDescent="0.25">
      <c r="A27" s="65" t="s">
        <v>107</v>
      </c>
      <c r="B27" s="112">
        <v>0.38500000000000001</v>
      </c>
      <c r="C27" s="112">
        <v>0.374</v>
      </c>
      <c r="D27" s="47"/>
      <c r="E27" s="112">
        <v>0.38200000000000001</v>
      </c>
      <c r="F27" s="112">
        <v>0.34300000000000003</v>
      </c>
      <c r="G27" s="112">
        <v>0.33700000000000002</v>
      </c>
      <c r="H27" s="112">
        <v>0.35499999999999998</v>
      </c>
      <c r="I27" s="47"/>
      <c r="J27" s="112">
        <v>0.35299999999999998</v>
      </c>
      <c r="K27" s="47"/>
      <c r="L27" s="112">
        <v>0.38700000000000001</v>
      </c>
      <c r="M27" s="112">
        <v>0.39900000000000002</v>
      </c>
      <c r="N27" s="112">
        <v>0.35699999999999998</v>
      </c>
      <c r="O27" s="112">
        <v>0.377</v>
      </c>
      <c r="P27" s="47"/>
      <c r="Q27" s="112">
        <v>0.38</v>
      </c>
      <c r="R27" s="106"/>
      <c r="S27" s="112">
        <v>0.38900000000000001</v>
      </c>
      <c r="T27" s="112">
        <v>0.34300000000000003</v>
      </c>
      <c r="U27" s="112">
        <v>0.35599999999999998</v>
      </c>
      <c r="V27" s="112">
        <v>0.42</v>
      </c>
      <c r="W27" s="106"/>
      <c r="X27" s="112">
        <v>0.378</v>
      </c>
    </row>
    <row r="28" spans="1:24" s="52" customFormat="1" ht="16.5" x14ac:dyDescent="0.25">
      <c r="A28" s="47"/>
      <c r="B28" s="116"/>
      <c r="C28" s="116"/>
      <c r="E28" s="116"/>
      <c r="F28" s="116"/>
      <c r="G28" s="116"/>
      <c r="H28" s="116"/>
      <c r="J28" s="116"/>
      <c r="L28" s="116"/>
      <c r="M28" s="116"/>
      <c r="N28" s="116"/>
      <c r="O28" s="116"/>
      <c r="Q28" s="116"/>
      <c r="R28" s="47"/>
      <c r="S28" s="116"/>
      <c r="T28" s="116"/>
      <c r="U28" s="116"/>
      <c r="V28" s="116"/>
      <c r="W28" s="47"/>
      <c r="X28" s="116"/>
    </row>
    <row r="29" spans="1:24" s="52" customFormat="1" ht="16.5" x14ac:dyDescent="0.25">
      <c r="A29" s="58" t="s">
        <v>126</v>
      </c>
      <c r="B29" s="61">
        <f>+-B24</f>
        <v>-30.317</v>
      </c>
      <c r="C29" s="61">
        <f>+-C24</f>
        <v>-31.329000000000001</v>
      </c>
      <c r="E29" s="61">
        <f>+-E24</f>
        <v>-9.2520000000000007</v>
      </c>
      <c r="F29" s="61">
        <f>+-F24</f>
        <v>-8.1809999999999992</v>
      </c>
      <c r="G29" s="61">
        <f>+-G24</f>
        <v>-8.1890000000000001</v>
      </c>
      <c r="H29" s="61">
        <f>+-H24</f>
        <v>-7.82</v>
      </c>
      <c r="J29" s="61">
        <f>+-J24</f>
        <v>-33.286000000000001</v>
      </c>
      <c r="L29" s="61">
        <f>+-L24</f>
        <v>-8.5470000000000006</v>
      </c>
      <c r="M29" s="61">
        <v>-9.891</v>
      </c>
      <c r="N29" s="61">
        <v>-9.0009999999999994</v>
      </c>
      <c r="O29" s="61">
        <v>-12.39</v>
      </c>
      <c r="Q29" s="61">
        <v>-39.829000000000001</v>
      </c>
      <c r="R29" s="106"/>
      <c r="S29" s="61">
        <f>-S24</f>
        <v>-7.1159999999999997</v>
      </c>
      <c r="T29" s="61">
        <f>-T24</f>
        <v>-8.3079999999999998</v>
      </c>
      <c r="U29" s="61">
        <f>-U24</f>
        <v>-9.6709999999999994</v>
      </c>
      <c r="V29" s="61">
        <f>-V24</f>
        <v>-5.5289999999999999</v>
      </c>
      <c r="W29" s="106"/>
      <c r="X29" s="61">
        <f>-X24</f>
        <v>-30.623999999999999</v>
      </c>
    </row>
    <row r="30" spans="1:24" s="52" customFormat="1" ht="16.5" x14ac:dyDescent="0.25">
      <c r="A30" s="58" t="s">
        <v>128</v>
      </c>
      <c r="B30" s="61">
        <v>-8.4670000000000005</v>
      </c>
      <c r="C30" s="61">
        <v>-1</v>
      </c>
      <c r="E30" s="61">
        <v>-1.5</v>
      </c>
      <c r="F30" s="61">
        <v>-0.1</v>
      </c>
      <c r="G30" s="61">
        <v>-1.2330000000000001</v>
      </c>
      <c r="H30" s="61">
        <v>-3.3210000000000002</v>
      </c>
      <c r="J30" s="61">
        <v>-6.1130000000000004</v>
      </c>
      <c r="L30" s="61">
        <v>-2.4</v>
      </c>
      <c r="M30" s="61">
        <v>-1.494</v>
      </c>
      <c r="N30" s="61">
        <v>-1.3260000000000001</v>
      </c>
      <c r="O30" s="61">
        <v>-1.298</v>
      </c>
      <c r="Q30" s="61">
        <v>-6.5030000000000001</v>
      </c>
      <c r="R30" s="106"/>
      <c r="S30" s="61">
        <v>2.4849999999999999</v>
      </c>
      <c r="T30" s="61">
        <v>-1.5960000000000001</v>
      </c>
      <c r="U30" s="61">
        <v>0.9</v>
      </c>
      <c r="V30" s="61">
        <v>-2.625</v>
      </c>
      <c r="W30" s="106"/>
      <c r="X30" s="61">
        <f>+S30+T30+U30+V30</f>
        <v>-0.8360000000000003</v>
      </c>
    </row>
    <row r="31" spans="1:24" s="52" customFormat="1" ht="16.5" x14ac:dyDescent="0.25">
      <c r="A31" s="58" t="s">
        <v>129</v>
      </c>
      <c r="B31" s="61">
        <v>-7.82</v>
      </c>
      <c r="C31" s="61">
        <v>-6.8</v>
      </c>
      <c r="E31" s="61">
        <v>-0.4</v>
      </c>
      <c r="F31" s="61">
        <v>-0.1</v>
      </c>
      <c r="G31" s="61">
        <v>-0.47</v>
      </c>
      <c r="H31" s="61">
        <v>-0.93799999999999994</v>
      </c>
      <c r="J31" s="61">
        <v>-1.931</v>
      </c>
      <c r="L31" s="61">
        <v>-0.3</v>
      </c>
      <c r="M31" s="61">
        <v>-0.30099999999999999</v>
      </c>
      <c r="N31" s="61">
        <v>-0.71799999999999997</v>
      </c>
      <c r="O31" s="61">
        <v>-0.42199999999999999</v>
      </c>
      <c r="Q31" s="61">
        <v>-1.786</v>
      </c>
      <c r="R31" s="106"/>
      <c r="S31" s="61">
        <v>-1.9219999999999999</v>
      </c>
      <c r="T31" s="61">
        <v>-0.42399999999999999</v>
      </c>
      <c r="U31" s="61">
        <v>-0.51900000000000002</v>
      </c>
      <c r="V31" s="61">
        <v>-2.6070000000000002</v>
      </c>
      <c r="W31" s="106"/>
      <c r="X31" s="61">
        <f>+S31+T31+U31+V31</f>
        <v>-5.4720000000000004</v>
      </c>
    </row>
    <row r="32" spans="1:24" s="52" customFormat="1" ht="16.5" x14ac:dyDescent="0.25">
      <c r="A32" s="58" t="s">
        <v>315</v>
      </c>
      <c r="B32" s="61">
        <v>-0.38800000000000001</v>
      </c>
      <c r="C32" s="61">
        <v>-0.84599999999999997</v>
      </c>
      <c r="E32" s="61">
        <v>-6.3E-2</v>
      </c>
      <c r="F32" s="61">
        <v>-9.7000000000000003E-2</v>
      </c>
      <c r="G32" s="61">
        <v>-2.8000000000000001E-2</v>
      </c>
      <c r="H32" s="61">
        <v>-1.6E-2</v>
      </c>
      <c r="J32" s="61">
        <v>-0.20200000000000001</v>
      </c>
      <c r="L32" s="61">
        <v>-2E-3</v>
      </c>
      <c r="M32" s="61">
        <v>-0.14499999999999999</v>
      </c>
      <c r="N32" s="61">
        <v>-0.96399999999999997</v>
      </c>
      <c r="O32" s="61">
        <v>-2.3359999999999999</v>
      </c>
      <c r="Q32" s="61">
        <v>-3.448</v>
      </c>
      <c r="R32" s="106"/>
      <c r="S32" s="61">
        <v>-5.085</v>
      </c>
      <c r="T32" s="61">
        <v>-4.1509999999999998</v>
      </c>
      <c r="U32" s="61">
        <v>-8.8800000000000008</v>
      </c>
      <c r="V32" s="61">
        <v>-12.760999999999999</v>
      </c>
      <c r="W32" s="106"/>
      <c r="X32" s="61">
        <f>+S32+T32+U32+V32</f>
        <v>-30.876999999999999</v>
      </c>
    </row>
    <row r="33" spans="1:24" s="52" customFormat="1" ht="16.5" x14ac:dyDescent="0.25">
      <c r="A33" s="58" t="s">
        <v>130</v>
      </c>
      <c r="B33" s="61">
        <v>0</v>
      </c>
      <c r="C33" s="61">
        <v>-2.2000000000000002</v>
      </c>
      <c r="D33" s="3"/>
      <c r="E33" s="61">
        <v>0</v>
      </c>
      <c r="F33" s="61">
        <v>0</v>
      </c>
      <c r="G33" s="61">
        <v>0</v>
      </c>
      <c r="H33" s="61">
        <v>0</v>
      </c>
      <c r="I33" s="3"/>
      <c r="J33" s="61">
        <v>0</v>
      </c>
      <c r="K33" s="3"/>
      <c r="L33" s="61">
        <v>0</v>
      </c>
      <c r="M33" s="61">
        <v>0</v>
      </c>
      <c r="N33" s="61">
        <v>0</v>
      </c>
      <c r="O33" s="61">
        <v>0</v>
      </c>
      <c r="P33" s="3"/>
      <c r="Q33" s="61">
        <v>0</v>
      </c>
      <c r="R33" s="106"/>
      <c r="S33" s="61">
        <v>0</v>
      </c>
      <c r="T33" s="61">
        <v>0</v>
      </c>
      <c r="U33" s="61">
        <v>0</v>
      </c>
      <c r="V33" s="61">
        <v>0</v>
      </c>
      <c r="W33" s="106"/>
      <c r="X33" s="61">
        <f>+S33+T33+U33+V33</f>
        <v>0</v>
      </c>
    </row>
    <row r="34" spans="1:24" s="52" customFormat="1" ht="16.5" x14ac:dyDescent="0.25">
      <c r="A34" s="58" t="s">
        <v>131</v>
      </c>
      <c r="B34" s="104">
        <f>+-0.647+0.388</f>
        <v>-0.25900000000000001</v>
      </c>
      <c r="C34" s="104">
        <f>+-1.3+0.846</f>
        <v>-0.45400000000000007</v>
      </c>
      <c r="D34" s="3"/>
      <c r="E34" s="104">
        <f>+-0.4+0.063</f>
        <v>-0.33700000000000002</v>
      </c>
      <c r="F34" s="104">
        <f>+-0.4+0.097</f>
        <v>-0.30300000000000005</v>
      </c>
      <c r="G34" s="104">
        <f>0.983+0.028</f>
        <v>1.0109999999999999</v>
      </c>
      <c r="H34" s="104">
        <f>0.231+0.016</f>
        <v>0.247</v>
      </c>
      <c r="I34" s="3"/>
      <c r="J34" s="104">
        <f>0.413+0.202</f>
        <v>0.61499999999999999</v>
      </c>
      <c r="K34" s="3"/>
      <c r="L34" s="104">
        <f>+-1.3+0.002</f>
        <v>-1.298</v>
      </c>
      <c r="M34" s="104">
        <f>+-3.737+0.145</f>
        <v>-3.5920000000000001</v>
      </c>
      <c r="N34" s="104">
        <f>-1.193+0.964</f>
        <v>-0.22900000000000009</v>
      </c>
      <c r="O34" s="104">
        <v>-1.4490000000000001</v>
      </c>
      <c r="P34" s="3"/>
      <c r="Q34" s="104">
        <v>-6.609</v>
      </c>
      <c r="R34" s="47"/>
      <c r="S34" s="104">
        <v>-6.0999999999999999E-2</v>
      </c>
      <c r="T34" s="104">
        <v>0.83799999999999997</v>
      </c>
      <c r="U34" s="104">
        <v>7.0000000000000001E-3</v>
      </c>
      <c r="V34" s="104">
        <v>-0.27600000000000002</v>
      </c>
      <c r="W34" s="47"/>
      <c r="X34" s="104">
        <f>+S34+T34+U34+V34</f>
        <v>0.5079999999999999</v>
      </c>
    </row>
    <row r="35" spans="1:24" s="52" customFormat="1" ht="33" x14ac:dyDescent="0.25">
      <c r="A35" s="114" t="s">
        <v>318</v>
      </c>
      <c r="B35" s="115">
        <f>SUM(B29:B34)+B26</f>
        <v>224.87000000000003</v>
      </c>
      <c r="C35" s="115">
        <f>SUM(C29:C34)+C26</f>
        <v>234.32700000000003</v>
      </c>
      <c r="D35" s="3"/>
      <c r="E35" s="115">
        <f>SUM(E29:E34)+E26</f>
        <v>59.660000000000004</v>
      </c>
      <c r="F35" s="115">
        <f>SUM(F29:F34)+F26</f>
        <v>60.071999999999996</v>
      </c>
      <c r="G35" s="115">
        <f>SUM(G29:G34)+G26</f>
        <v>57.552999999999997</v>
      </c>
      <c r="H35" s="115">
        <f>SUM(H29:H34)+H26</f>
        <v>63.215999999999994</v>
      </c>
      <c r="I35" s="3"/>
      <c r="J35" s="115">
        <f>SUM(J29:J34)+J26</f>
        <v>240.12500000000003</v>
      </c>
      <c r="K35" s="3"/>
      <c r="L35" s="115">
        <f>SUM(L29:L34)+L26</f>
        <v>67.531000000000006</v>
      </c>
      <c r="M35" s="115">
        <f>SUM(M29:M34)+M26</f>
        <v>69.020999999999987</v>
      </c>
      <c r="N35" s="115">
        <f>SUM(N29:N34)+N26</f>
        <v>65.603999999999999</v>
      </c>
      <c r="O35" s="115">
        <f>SUM(O29:O34)+O26</f>
        <v>61.300000000000004</v>
      </c>
      <c r="P35" s="3"/>
      <c r="Q35" s="115">
        <f>SUM(Q29:Q34)+Q26</f>
        <v>263.387</v>
      </c>
      <c r="R35" s="47"/>
      <c r="S35" s="115">
        <f>SUM(S29:S34)+S26</f>
        <v>60.563000000000002</v>
      </c>
      <c r="T35" s="115">
        <f>SUM(T29:T34)+T26</f>
        <v>56.407000000000004</v>
      </c>
      <c r="U35" s="115">
        <f>SUM(U29:U34)+U26</f>
        <v>58.507000000000005</v>
      </c>
      <c r="V35" s="115">
        <f>SUM(V29:V34)+V26</f>
        <v>70.782000000000011</v>
      </c>
      <c r="W35" s="47"/>
      <c r="X35" s="115">
        <f>SUM(X29:X34)+X26</f>
        <v>246.25900000000001</v>
      </c>
    </row>
    <row r="36" spans="1:24" s="52" customFormat="1" ht="16.5" x14ac:dyDescent="0.25">
      <c r="A36" s="65" t="s">
        <v>108</v>
      </c>
      <c r="B36" s="112">
        <v>0.314</v>
      </c>
      <c r="C36" s="112">
        <v>0.31</v>
      </c>
      <c r="D36" s="3"/>
      <c r="E36" s="112">
        <v>0.315</v>
      </c>
      <c r="F36" s="112">
        <v>0.29599999999999999</v>
      </c>
      <c r="G36" s="112">
        <v>0.28599999999999998</v>
      </c>
      <c r="H36" s="112">
        <v>0.28999999999999998</v>
      </c>
      <c r="I36" s="3"/>
      <c r="J36" s="112">
        <v>0.29599999999999999</v>
      </c>
      <c r="K36" s="3"/>
      <c r="L36" s="112">
        <v>0.312</v>
      </c>
      <c r="M36" s="112">
        <v>0.316</v>
      </c>
      <c r="N36" s="112">
        <v>0.29299999999999998</v>
      </c>
      <c r="O36" s="112">
        <v>0.28499999999999998</v>
      </c>
      <c r="P36" s="3"/>
      <c r="Q36" s="112">
        <v>0.30199999999999999</v>
      </c>
      <c r="R36" s="47"/>
      <c r="S36" s="112">
        <v>0.32</v>
      </c>
      <c r="T36" s="112">
        <v>0.27200000000000002</v>
      </c>
      <c r="U36" s="112">
        <v>0.26900000000000002</v>
      </c>
      <c r="V36" s="112">
        <v>0.312</v>
      </c>
      <c r="W36" s="47"/>
      <c r="X36" s="112">
        <v>0.29299999999999998</v>
      </c>
    </row>
    <row r="37" spans="1:24" s="52" customFormat="1" ht="16.5" x14ac:dyDescent="0.25">
      <c r="A37" s="118"/>
      <c r="B37" s="118"/>
      <c r="C37" s="68"/>
      <c r="D37" s="3"/>
      <c r="E37" s="68"/>
      <c r="F37" s="68"/>
      <c r="G37" s="68"/>
      <c r="H37" s="68"/>
      <c r="I37" s="3"/>
      <c r="J37" s="68"/>
      <c r="K37" s="3"/>
      <c r="L37" s="68"/>
      <c r="M37" s="68"/>
      <c r="N37" s="68"/>
      <c r="O37" s="68"/>
      <c r="P37" s="3"/>
      <c r="Q37" s="68"/>
      <c r="R37" s="47"/>
      <c r="S37" s="68"/>
      <c r="T37" s="68"/>
      <c r="U37" s="68"/>
      <c r="V37" s="68"/>
      <c r="W37" s="47"/>
      <c r="X37" s="68"/>
    </row>
    <row r="38" spans="1:24" s="3" customFormat="1" x14ac:dyDescent="0.2">
      <c r="C38" s="8"/>
      <c r="E38" s="8"/>
      <c r="F38" s="8"/>
      <c r="G38" s="8"/>
      <c r="H38" s="8"/>
      <c r="J38" s="8"/>
      <c r="L38" s="8"/>
      <c r="M38" s="8"/>
      <c r="N38" s="8"/>
      <c r="O38" s="8"/>
      <c r="Q38" s="8"/>
      <c r="R38" s="8"/>
      <c r="S38" s="8"/>
      <c r="T38" s="8"/>
      <c r="U38" s="8"/>
      <c r="V38" s="8"/>
      <c r="X38" s="8"/>
    </row>
    <row r="39" spans="1:24" s="3" customFormat="1" x14ac:dyDescent="0.2">
      <c r="C39" s="8"/>
      <c r="E39" s="8"/>
      <c r="F39" s="8"/>
      <c r="G39" s="8"/>
      <c r="H39" s="8"/>
      <c r="J39" s="8"/>
      <c r="L39" s="8"/>
      <c r="M39" s="8"/>
      <c r="N39" s="8"/>
      <c r="O39" s="8"/>
      <c r="Q39" s="8"/>
      <c r="R39" s="8"/>
      <c r="S39" s="8"/>
      <c r="T39" s="8"/>
      <c r="U39" s="8"/>
      <c r="V39" s="8"/>
      <c r="X39" s="8"/>
    </row>
    <row r="40" spans="1:24" s="3" customFormat="1" x14ac:dyDescent="0.2">
      <c r="C40" s="8"/>
      <c r="E40" s="8"/>
      <c r="F40" s="8"/>
      <c r="G40" s="8"/>
      <c r="H40" s="8"/>
      <c r="J40" s="8"/>
      <c r="L40" s="8"/>
      <c r="M40" s="8"/>
      <c r="N40" s="8"/>
      <c r="O40" s="8"/>
      <c r="Q40" s="8"/>
      <c r="R40" s="8"/>
      <c r="S40" s="8"/>
      <c r="T40" s="8"/>
      <c r="U40" s="8"/>
      <c r="V40" s="8"/>
      <c r="X40" s="8"/>
    </row>
    <row r="41" spans="1:24" s="3" customFormat="1" x14ac:dyDescent="0.2">
      <c r="C41" s="8"/>
      <c r="E41" s="8"/>
      <c r="F41" s="8"/>
      <c r="G41" s="8"/>
      <c r="H41" s="8"/>
      <c r="J41" s="8"/>
      <c r="L41" s="8"/>
      <c r="M41" s="8"/>
      <c r="N41" s="8"/>
      <c r="O41" s="8"/>
      <c r="Q41" s="8"/>
      <c r="R41" s="8"/>
      <c r="S41" s="8"/>
      <c r="T41" s="8"/>
      <c r="U41" s="8"/>
      <c r="V41" s="8"/>
      <c r="X41" s="8"/>
    </row>
    <row r="42" spans="1:24" s="3" customFormat="1" x14ac:dyDescent="0.2">
      <c r="C42" s="8"/>
      <c r="E42" s="8"/>
      <c r="F42" s="8"/>
      <c r="G42" s="8"/>
      <c r="H42" s="8"/>
      <c r="J42" s="8"/>
      <c r="L42" s="8"/>
      <c r="M42" s="8"/>
      <c r="N42" s="8"/>
      <c r="O42" s="8"/>
      <c r="Q42" s="8"/>
      <c r="R42" s="8"/>
      <c r="S42" s="8"/>
      <c r="T42" s="8"/>
      <c r="U42" s="8"/>
      <c r="V42" s="8"/>
      <c r="X42" s="8"/>
    </row>
    <row r="43" spans="1:24" s="3" customFormat="1" x14ac:dyDescent="0.2">
      <c r="C43" s="8"/>
      <c r="E43" s="8"/>
      <c r="F43" s="8"/>
      <c r="G43" s="8"/>
      <c r="H43" s="8"/>
      <c r="J43" s="8"/>
      <c r="L43" s="8"/>
      <c r="M43" s="8"/>
      <c r="N43" s="8"/>
      <c r="O43" s="8"/>
      <c r="Q43" s="8"/>
      <c r="R43" s="8"/>
      <c r="S43" s="8"/>
      <c r="T43" s="8"/>
      <c r="U43" s="8"/>
      <c r="V43" s="8"/>
      <c r="X43" s="8"/>
    </row>
    <row r="44" spans="1:24" s="3" customFormat="1" x14ac:dyDescent="0.2">
      <c r="C44" s="8"/>
      <c r="E44" s="8"/>
      <c r="F44" s="8"/>
      <c r="G44" s="8"/>
      <c r="H44" s="8"/>
      <c r="J44" s="8"/>
      <c r="L44" s="8"/>
      <c r="M44" s="8"/>
      <c r="N44" s="8"/>
      <c r="O44" s="8"/>
      <c r="Q44" s="8"/>
      <c r="R44" s="8"/>
      <c r="S44" s="8"/>
      <c r="T44" s="8"/>
      <c r="U44" s="8"/>
      <c r="V44" s="8"/>
      <c r="X44" s="8"/>
    </row>
    <row r="45" spans="1:24" s="3" customFormat="1" x14ac:dyDescent="0.2">
      <c r="C45" s="8"/>
      <c r="E45" s="8"/>
      <c r="F45" s="8"/>
      <c r="G45" s="8"/>
      <c r="H45" s="8"/>
      <c r="J45" s="8"/>
      <c r="L45" s="8"/>
      <c r="M45" s="8"/>
      <c r="N45" s="8"/>
      <c r="O45" s="8"/>
      <c r="Q45" s="8"/>
      <c r="R45" s="8"/>
      <c r="S45" s="8"/>
      <c r="T45" s="8"/>
      <c r="U45" s="8"/>
      <c r="V45" s="8"/>
      <c r="X45" s="8"/>
    </row>
    <row r="46" spans="1:24" s="3" customFormat="1" x14ac:dyDescent="0.2">
      <c r="C46" s="8"/>
      <c r="E46" s="8"/>
      <c r="F46" s="8"/>
      <c r="G46" s="8"/>
      <c r="H46" s="8"/>
      <c r="J46" s="8"/>
      <c r="L46" s="8"/>
      <c r="M46" s="8"/>
      <c r="N46" s="8"/>
      <c r="O46" s="8"/>
      <c r="Q46" s="8"/>
      <c r="R46" s="8"/>
      <c r="S46" s="8"/>
      <c r="T46" s="8"/>
      <c r="U46" s="8"/>
      <c r="V46" s="8"/>
      <c r="X46" s="8"/>
    </row>
    <row r="47" spans="1:24" s="3" customFormat="1" x14ac:dyDescent="0.2">
      <c r="C47" s="8"/>
      <c r="E47" s="8"/>
      <c r="F47" s="8"/>
      <c r="G47" s="8"/>
      <c r="H47" s="8"/>
      <c r="J47" s="8"/>
      <c r="L47" s="8"/>
      <c r="M47" s="8"/>
      <c r="N47" s="8"/>
      <c r="O47" s="8"/>
      <c r="Q47" s="8"/>
      <c r="R47" s="8"/>
      <c r="S47" s="8"/>
      <c r="T47" s="8"/>
      <c r="U47" s="8"/>
      <c r="V47" s="8"/>
      <c r="X47" s="8"/>
    </row>
    <row r="48" spans="1:24" s="3" customFormat="1" x14ac:dyDescent="0.2">
      <c r="C48" s="8"/>
      <c r="E48" s="8"/>
      <c r="F48" s="8"/>
      <c r="G48" s="8"/>
      <c r="H48" s="8"/>
      <c r="J48" s="8"/>
      <c r="L48" s="8"/>
      <c r="M48" s="8"/>
      <c r="N48" s="8"/>
      <c r="O48" s="8"/>
      <c r="Q48" s="8"/>
      <c r="R48" s="8"/>
      <c r="S48" s="8"/>
      <c r="T48" s="8"/>
      <c r="U48" s="8"/>
      <c r="V48" s="8"/>
      <c r="X48" s="8"/>
    </row>
    <row r="49" spans="3:24" s="3" customFormat="1" x14ac:dyDescent="0.2">
      <c r="C49" s="8"/>
      <c r="E49" s="8"/>
      <c r="F49" s="8"/>
      <c r="G49" s="8"/>
      <c r="H49" s="8"/>
      <c r="J49" s="8"/>
      <c r="L49" s="8"/>
      <c r="M49" s="8"/>
      <c r="N49" s="8"/>
      <c r="O49" s="8"/>
      <c r="Q49" s="8"/>
      <c r="R49" s="8"/>
      <c r="S49" s="8"/>
      <c r="T49" s="8"/>
      <c r="U49" s="8"/>
      <c r="V49" s="8"/>
      <c r="X49" s="8"/>
    </row>
    <row r="50" spans="3:24" s="3" customFormat="1" x14ac:dyDescent="0.2">
      <c r="C50" s="8"/>
      <c r="E50" s="8"/>
      <c r="F50" s="8"/>
      <c r="G50" s="8"/>
      <c r="H50" s="8"/>
      <c r="J50" s="8"/>
      <c r="L50" s="8"/>
      <c r="M50" s="8"/>
      <c r="N50" s="8"/>
      <c r="O50" s="8"/>
      <c r="Q50" s="8"/>
      <c r="R50" s="8"/>
      <c r="S50" s="8"/>
      <c r="T50" s="8"/>
      <c r="U50" s="8"/>
      <c r="V50" s="8"/>
      <c r="X50" s="8"/>
    </row>
    <row r="51" spans="3:24" s="3" customFormat="1" x14ac:dyDescent="0.2">
      <c r="C51" s="8"/>
      <c r="E51" s="8"/>
      <c r="F51" s="8"/>
      <c r="G51" s="8"/>
      <c r="H51" s="8"/>
      <c r="J51" s="8"/>
      <c r="L51" s="8"/>
      <c r="M51" s="8"/>
      <c r="N51" s="8"/>
      <c r="O51" s="8"/>
      <c r="Q51" s="8"/>
      <c r="R51" s="8"/>
      <c r="S51" s="8"/>
      <c r="T51" s="8"/>
      <c r="U51" s="8"/>
      <c r="V51" s="8"/>
      <c r="X51" s="8"/>
    </row>
    <row r="52" spans="3:24" s="3" customFormat="1" x14ac:dyDescent="0.2">
      <c r="C52" s="8"/>
      <c r="E52" s="8"/>
      <c r="F52" s="8"/>
      <c r="G52" s="8"/>
      <c r="H52" s="8"/>
      <c r="J52" s="8"/>
      <c r="L52" s="8"/>
      <c r="M52" s="8"/>
      <c r="N52" s="8"/>
      <c r="O52" s="8"/>
      <c r="Q52" s="8"/>
      <c r="R52" s="8"/>
      <c r="S52" s="8"/>
      <c r="T52" s="8"/>
      <c r="U52" s="8"/>
      <c r="V52" s="8"/>
      <c r="X52" s="8"/>
    </row>
    <row r="53" spans="3:24" s="3" customFormat="1" x14ac:dyDescent="0.2">
      <c r="C53" s="8"/>
      <c r="E53" s="8"/>
      <c r="F53" s="8"/>
      <c r="G53" s="8"/>
      <c r="H53" s="8"/>
      <c r="J53" s="8"/>
      <c r="L53" s="8"/>
      <c r="M53" s="8"/>
      <c r="N53" s="8"/>
      <c r="O53" s="8"/>
      <c r="Q53" s="8"/>
      <c r="R53" s="8"/>
      <c r="S53" s="8"/>
      <c r="T53" s="8"/>
      <c r="U53" s="8"/>
      <c r="V53" s="8"/>
      <c r="X53" s="8"/>
    </row>
    <row r="54" spans="3:24" s="3" customFormat="1" x14ac:dyDescent="0.2">
      <c r="C54" s="8"/>
      <c r="E54" s="8"/>
      <c r="F54" s="8"/>
      <c r="G54" s="8"/>
      <c r="H54" s="8"/>
      <c r="J54" s="8"/>
      <c r="L54" s="8"/>
      <c r="M54" s="8"/>
      <c r="N54" s="8"/>
      <c r="O54" s="8"/>
      <c r="Q54" s="8"/>
      <c r="R54" s="8"/>
      <c r="S54" s="8"/>
      <c r="T54" s="8"/>
      <c r="U54" s="8"/>
      <c r="V54" s="8"/>
      <c r="X54" s="8"/>
    </row>
    <row r="55" spans="3:24" s="3" customFormat="1" x14ac:dyDescent="0.2">
      <c r="C55" s="8"/>
      <c r="E55" s="8"/>
      <c r="F55" s="8"/>
      <c r="G55" s="8"/>
      <c r="H55" s="8"/>
      <c r="J55" s="8"/>
      <c r="L55" s="8"/>
      <c r="M55" s="8"/>
      <c r="N55" s="8"/>
      <c r="O55" s="8"/>
      <c r="Q55" s="8"/>
      <c r="R55" s="8"/>
      <c r="S55" s="8"/>
      <c r="T55" s="8"/>
      <c r="U55" s="8"/>
      <c r="V55" s="8"/>
      <c r="X55" s="8"/>
    </row>
    <row r="56" spans="3:24" s="3" customFormat="1" x14ac:dyDescent="0.2">
      <c r="C56" s="8"/>
      <c r="E56" s="8"/>
      <c r="F56" s="8"/>
      <c r="G56" s="8"/>
      <c r="H56" s="8"/>
      <c r="J56" s="8"/>
      <c r="L56" s="8"/>
      <c r="M56" s="8"/>
      <c r="N56" s="8"/>
      <c r="O56" s="8"/>
      <c r="Q56" s="8"/>
      <c r="R56" s="8"/>
      <c r="S56" s="8"/>
      <c r="T56" s="8"/>
      <c r="U56" s="8"/>
      <c r="V56" s="8"/>
      <c r="X56" s="8"/>
    </row>
    <row r="57" spans="3:24" s="3" customFormat="1" x14ac:dyDescent="0.2">
      <c r="C57" s="8"/>
      <c r="E57" s="8"/>
      <c r="F57" s="8"/>
      <c r="G57" s="8"/>
      <c r="H57" s="8"/>
      <c r="J57" s="8"/>
      <c r="L57" s="8"/>
      <c r="M57" s="8"/>
      <c r="N57" s="8"/>
      <c r="O57" s="8"/>
      <c r="Q57" s="8"/>
      <c r="R57" s="8"/>
      <c r="S57" s="8"/>
      <c r="T57" s="8"/>
      <c r="U57" s="8"/>
      <c r="V57" s="8"/>
      <c r="X57" s="8"/>
    </row>
    <row r="58" spans="3:24" s="3" customFormat="1" x14ac:dyDescent="0.2">
      <c r="C58" s="8"/>
      <c r="E58" s="8"/>
      <c r="F58" s="8"/>
      <c r="G58" s="8"/>
      <c r="H58" s="8"/>
      <c r="J58" s="8"/>
      <c r="L58" s="8"/>
      <c r="M58" s="8"/>
      <c r="N58" s="8"/>
      <c r="O58" s="8"/>
      <c r="Q58" s="8"/>
      <c r="R58" s="8"/>
      <c r="S58" s="8"/>
      <c r="T58" s="8"/>
      <c r="U58" s="8"/>
      <c r="V58" s="8"/>
      <c r="X58" s="8"/>
    </row>
    <row r="59" spans="3:24" s="3" customFormat="1" x14ac:dyDescent="0.2">
      <c r="C59" s="8"/>
      <c r="E59" s="8"/>
      <c r="F59" s="8"/>
      <c r="G59" s="8"/>
      <c r="H59" s="8"/>
      <c r="J59" s="8"/>
      <c r="L59" s="8"/>
      <c r="M59" s="8"/>
      <c r="N59" s="8"/>
      <c r="O59" s="8"/>
      <c r="Q59" s="8"/>
      <c r="R59" s="8"/>
      <c r="S59" s="8"/>
      <c r="T59" s="8"/>
      <c r="U59" s="8"/>
      <c r="V59" s="8"/>
      <c r="X59" s="8"/>
    </row>
    <row r="60" spans="3:24" s="3" customFormat="1" x14ac:dyDescent="0.2">
      <c r="C60" s="8"/>
      <c r="E60" s="8"/>
      <c r="F60" s="8"/>
      <c r="G60" s="8"/>
      <c r="H60" s="8"/>
      <c r="J60" s="8"/>
      <c r="L60" s="8"/>
      <c r="M60" s="8"/>
      <c r="N60" s="8"/>
      <c r="O60" s="8"/>
      <c r="Q60" s="8"/>
      <c r="R60" s="8"/>
      <c r="S60" s="8"/>
      <c r="T60" s="8"/>
      <c r="U60" s="8"/>
      <c r="V60" s="8"/>
      <c r="X60" s="8"/>
    </row>
    <row r="61" spans="3:24" s="3" customFormat="1" x14ac:dyDescent="0.2">
      <c r="C61" s="8"/>
      <c r="E61" s="8"/>
      <c r="F61" s="8"/>
      <c r="G61" s="8"/>
      <c r="H61" s="8"/>
      <c r="J61" s="8"/>
      <c r="L61" s="8"/>
      <c r="M61" s="8"/>
      <c r="N61" s="8"/>
      <c r="O61" s="8"/>
      <c r="Q61" s="8"/>
      <c r="R61" s="8"/>
      <c r="S61" s="8"/>
      <c r="T61" s="8"/>
      <c r="U61" s="8"/>
      <c r="V61" s="8"/>
      <c r="X61" s="8"/>
    </row>
    <row r="62" spans="3:24" s="3" customFormat="1" x14ac:dyDescent="0.2">
      <c r="C62" s="8"/>
      <c r="E62" s="8"/>
      <c r="F62" s="8"/>
      <c r="G62" s="8"/>
      <c r="H62" s="8"/>
      <c r="J62" s="8"/>
      <c r="L62" s="8"/>
      <c r="M62" s="8"/>
      <c r="N62" s="8"/>
      <c r="O62" s="8"/>
      <c r="Q62" s="8"/>
      <c r="R62" s="8"/>
      <c r="S62" s="8"/>
      <c r="T62" s="8"/>
      <c r="U62" s="8"/>
      <c r="V62" s="8"/>
      <c r="X62" s="8"/>
    </row>
    <row r="63" spans="3:24" s="3" customFormat="1" x14ac:dyDescent="0.2">
      <c r="C63" s="8"/>
      <c r="E63" s="8"/>
      <c r="F63" s="8"/>
      <c r="G63" s="8"/>
      <c r="H63" s="8"/>
      <c r="J63" s="8"/>
      <c r="L63" s="8"/>
      <c r="M63" s="8"/>
      <c r="N63" s="8"/>
      <c r="O63" s="8"/>
      <c r="Q63" s="8"/>
      <c r="R63" s="8"/>
      <c r="S63" s="8"/>
      <c r="T63" s="8"/>
      <c r="U63" s="8"/>
      <c r="V63" s="8"/>
      <c r="X63" s="8"/>
    </row>
    <row r="64" spans="3:24" s="3" customFormat="1" x14ac:dyDescent="0.2">
      <c r="C64" s="8"/>
      <c r="E64" s="8"/>
      <c r="F64" s="8"/>
      <c r="G64" s="8"/>
      <c r="H64" s="8"/>
      <c r="J64" s="8"/>
      <c r="L64" s="8"/>
      <c r="M64" s="8"/>
      <c r="N64" s="8"/>
      <c r="O64" s="8"/>
      <c r="Q64" s="8"/>
      <c r="R64" s="8"/>
      <c r="S64" s="8"/>
      <c r="T64" s="8"/>
      <c r="U64" s="8"/>
      <c r="V64" s="8"/>
      <c r="X64" s="8"/>
    </row>
    <row r="65" spans="3:24" s="3" customFormat="1" x14ac:dyDescent="0.2">
      <c r="C65" s="8"/>
      <c r="E65" s="8"/>
      <c r="F65" s="8"/>
      <c r="G65" s="8"/>
      <c r="H65" s="8"/>
      <c r="J65" s="8"/>
      <c r="L65" s="8"/>
      <c r="M65" s="8"/>
      <c r="N65" s="8"/>
      <c r="O65" s="8"/>
      <c r="Q65" s="8"/>
      <c r="R65" s="8"/>
      <c r="S65" s="8"/>
      <c r="T65" s="8"/>
      <c r="U65" s="8"/>
      <c r="V65" s="8"/>
      <c r="X65" s="8"/>
    </row>
    <row r="66" spans="3:24" s="3" customFormat="1" x14ac:dyDescent="0.2">
      <c r="C66" s="8"/>
      <c r="E66" s="8"/>
      <c r="F66" s="8"/>
      <c r="G66" s="8"/>
      <c r="H66" s="8"/>
      <c r="J66" s="8"/>
      <c r="L66" s="8"/>
      <c r="M66" s="8"/>
      <c r="N66" s="8"/>
      <c r="O66" s="8"/>
      <c r="Q66" s="8"/>
      <c r="R66" s="8"/>
      <c r="S66" s="8"/>
      <c r="T66" s="8"/>
      <c r="U66" s="8"/>
      <c r="V66" s="8"/>
      <c r="X66" s="8"/>
    </row>
    <row r="67" spans="3:24" s="3" customFormat="1" x14ac:dyDescent="0.2">
      <c r="C67" s="8"/>
      <c r="E67" s="8"/>
      <c r="F67" s="8"/>
      <c r="G67" s="8"/>
      <c r="H67" s="8"/>
      <c r="J67" s="8"/>
      <c r="L67" s="8"/>
      <c r="M67" s="8"/>
      <c r="N67" s="8"/>
      <c r="O67" s="8"/>
      <c r="Q67" s="8"/>
      <c r="R67" s="8"/>
      <c r="S67" s="8"/>
      <c r="T67" s="8"/>
      <c r="U67" s="8"/>
      <c r="V67" s="8"/>
      <c r="X67" s="8"/>
    </row>
    <row r="68" spans="3:24" s="3" customFormat="1" x14ac:dyDescent="0.2">
      <c r="C68" s="8"/>
      <c r="E68" s="8"/>
      <c r="F68" s="8"/>
      <c r="G68" s="8"/>
      <c r="H68" s="8"/>
      <c r="J68" s="8"/>
      <c r="L68" s="8"/>
      <c r="M68" s="8"/>
      <c r="N68" s="8"/>
      <c r="O68" s="8"/>
      <c r="Q68" s="8"/>
      <c r="R68" s="8"/>
      <c r="S68" s="8"/>
      <c r="T68" s="8"/>
      <c r="U68" s="8"/>
      <c r="V68" s="8"/>
      <c r="X68" s="8"/>
    </row>
    <row r="69" spans="3:24" s="3" customFormat="1" x14ac:dyDescent="0.2">
      <c r="C69" s="8"/>
      <c r="E69" s="8"/>
      <c r="F69" s="8"/>
      <c r="G69" s="8"/>
      <c r="H69" s="8"/>
      <c r="J69" s="8"/>
      <c r="L69" s="8"/>
      <c r="M69" s="8"/>
      <c r="N69" s="8"/>
      <c r="O69" s="8"/>
      <c r="Q69" s="8"/>
      <c r="R69" s="8"/>
      <c r="S69" s="8"/>
      <c r="T69" s="8"/>
      <c r="U69" s="8"/>
      <c r="V69" s="8"/>
      <c r="X69" s="8"/>
    </row>
    <row r="70" spans="3:24" s="3" customFormat="1" x14ac:dyDescent="0.2">
      <c r="C70" s="8"/>
      <c r="E70" s="8"/>
      <c r="F70" s="8"/>
      <c r="G70" s="8"/>
      <c r="H70" s="8"/>
      <c r="J70" s="8"/>
      <c r="L70" s="8"/>
      <c r="M70" s="8"/>
      <c r="N70" s="8"/>
      <c r="O70" s="8"/>
      <c r="Q70" s="8"/>
      <c r="R70" s="8"/>
      <c r="S70" s="8"/>
      <c r="T70" s="8"/>
      <c r="U70" s="8"/>
      <c r="V70" s="8"/>
      <c r="X70" s="8"/>
    </row>
    <row r="71" spans="3:24" s="3" customFormat="1" x14ac:dyDescent="0.2">
      <c r="C71" s="8"/>
      <c r="E71" s="8"/>
      <c r="F71" s="8"/>
      <c r="G71" s="8"/>
      <c r="H71" s="8"/>
      <c r="J71" s="8"/>
      <c r="L71" s="8"/>
      <c r="M71" s="8"/>
      <c r="N71" s="8"/>
      <c r="O71" s="8"/>
      <c r="Q71" s="8"/>
      <c r="R71" s="8"/>
      <c r="S71" s="8"/>
      <c r="T71" s="8"/>
      <c r="U71" s="8"/>
      <c r="V71" s="8"/>
      <c r="X71" s="8"/>
    </row>
    <row r="72" spans="3:24" s="3" customFormat="1" x14ac:dyDescent="0.2">
      <c r="C72" s="8"/>
      <c r="E72" s="8"/>
      <c r="F72" s="8"/>
      <c r="G72" s="8"/>
      <c r="H72" s="8"/>
      <c r="J72" s="8"/>
      <c r="L72" s="8"/>
      <c r="M72" s="8"/>
      <c r="N72" s="8"/>
      <c r="O72" s="8"/>
      <c r="Q72" s="8"/>
      <c r="R72" s="8"/>
      <c r="S72" s="8"/>
      <c r="T72" s="8"/>
      <c r="U72" s="8"/>
      <c r="V72" s="8"/>
      <c r="X72" s="8"/>
    </row>
    <row r="73" spans="3:24" s="3" customFormat="1" x14ac:dyDescent="0.2">
      <c r="C73" s="8"/>
      <c r="E73" s="8"/>
      <c r="F73" s="8"/>
      <c r="G73" s="8"/>
      <c r="H73" s="8"/>
      <c r="J73" s="8"/>
      <c r="L73" s="8"/>
      <c r="M73" s="8"/>
      <c r="N73" s="8"/>
      <c r="O73" s="8"/>
      <c r="Q73" s="8"/>
      <c r="R73" s="8"/>
      <c r="S73" s="8"/>
      <c r="T73" s="8"/>
      <c r="U73" s="8"/>
      <c r="V73" s="8"/>
      <c r="X73" s="8"/>
    </row>
    <row r="74" spans="3:24" s="3" customFormat="1" x14ac:dyDescent="0.2">
      <c r="C74" s="8"/>
      <c r="E74" s="8"/>
      <c r="F74" s="8"/>
      <c r="G74" s="8"/>
      <c r="H74" s="8"/>
      <c r="J74" s="8"/>
      <c r="L74" s="8"/>
      <c r="M74" s="8"/>
      <c r="N74" s="8"/>
      <c r="O74" s="8"/>
      <c r="Q74" s="8"/>
      <c r="R74" s="8"/>
      <c r="S74" s="8"/>
      <c r="T74" s="8"/>
      <c r="U74" s="8"/>
      <c r="V74" s="8"/>
      <c r="X74" s="8"/>
    </row>
    <row r="75" spans="3:24" s="3" customFormat="1" x14ac:dyDescent="0.2">
      <c r="C75" s="8"/>
      <c r="E75" s="8"/>
      <c r="F75" s="8"/>
      <c r="G75" s="8"/>
      <c r="H75" s="8"/>
      <c r="J75" s="8"/>
      <c r="L75" s="8"/>
      <c r="M75" s="8"/>
      <c r="N75" s="8"/>
      <c r="O75" s="8"/>
      <c r="Q75" s="8"/>
      <c r="R75" s="8"/>
      <c r="S75" s="8"/>
      <c r="T75" s="8"/>
      <c r="U75" s="8"/>
      <c r="V75" s="8"/>
      <c r="X75" s="8"/>
    </row>
    <row r="76" spans="3:24" s="3" customFormat="1" x14ac:dyDescent="0.2">
      <c r="C76" s="8"/>
      <c r="E76" s="8"/>
      <c r="F76" s="8"/>
      <c r="G76" s="8"/>
      <c r="H76" s="8"/>
      <c r="J76" s="8"/>
      <c r="L76" s="8"/>
      <c r="M76" s="8"/>
      <c r="N76" s="8"/>
      <c r="O76" s="8"/>
      <c r="Q76" s="8"/>
      <c r="R76" s="8"/>
      <c r="S76" s="8"/>
      <c r="T76" s="8"/>
      <c r="U76" s="8"/>
      <c r="V76" s="8"/>
      <c r="X76" s="8"/>
    </row>
    <row r="77" spans="3:24" s="3" customFormat="1" x14ac:dyDescent="0.2">
      <c r="C77" s="8"/>
      <c r="E77" s="8"/>
      <c r="F77" s="8"/>
      <c r="G77" s="8"/>
      <c r="H77" s="8"/>
      <c r="J77" s="8"/>
      <c r="L77" s="8"/>
      <c r="M77" s="8"/>
      <c r="N77" s="8"/>
      <c r="O77" s="8"/>
      <c r="Q77" s="8"/>
      <c r="R77" s="8"/>
      <c r="S77" s="8"/>
      <c r="T77" s="8"/>
      <c r="U77" s="8"/>
      <c r="V77" s="8"/>
      <c r="X77" s="8"/>
    </row>
    <row r="78" spans="3:24" s="3" customFormat="1" x14ac:dyDescent="0.2">
      <c r="C78" s="8"/>
      <c r="E78" s="8"/>
      <c r="F78" s="8"/>
      <c r="G78" s="8"/>
      <c r="H78" s="8"/>
      <c r="J78" s="8"/>
      <c r="L78" s="8"/>
      <c r="M78" s="8"/>
      <c r="N78" s="8"/>
      <c r="O78" s="8"/>
      <c r="Q78" s="8"/>
      <c r="R78" s="8"/>
      <c r="S78" s="8"/>
      <c r="T78" s="8"/>
      <c r="U78" s="8"/>
      <c r="V78" s="8"/>
      <c r="X78" s="8"/>
    </row>
    <row r="79" spans="3:24" s="3" customFormat="1" x14ac:dyDescent="0.2">
      <c r="C79" s="8"/>
      <c r="E79" s="8"/>
      <c r="F79" s="8"/>
      <c r="G79" s="8"/>
      <c r="H79" s="8"/>
      <c r="J79" s="8"/>
      <c r="L79" s="8"/>
      <c r="M79" s="8"/>
      <c r="N79" s="8"/>
      <c r="O79" s="8"/>
      <c r="Q79" s="8"/>
      <c r="R79" s="8"/>
      <c r="S79" s="8"/>
      <c r="T79" s="8"/>
      <c r="U79" s="8"/>
      <c r="V79" s="8"/>
      <c r="X79" s="8"/>
    </row>
    <row r="80" spans="3:24" s="3" customFormat="1" x14ac:dyDescent="0.2">
      <c r="C80" s="8"/>
      <c r="E80" s="8"/>
      <c r="F80" s="8"/>
      <c r="G80" s="8"/>
      <c r="H80" s="8"/>
      <c r="J80" s="8"/>
      <c r="L80" s="8"/>
      <c r="M80" s="8"/>
      <c r="N80" s="8"/>
      <c r="O80" s="8"/>
      <c r="Q80" s="8"/>
      <c r="R80" s="8"/>
      <c r="S80" s="8"/>
      <c r="T80" s="8"/>
      <c r="U80" s="8"/>
      <c r="V80" s="8"/>
      <c r="X80" s="8"/>
    </row>
    <row r="81" spans="3:24" s="3" customFormat="1" x14ac:dyDescent="0.2">
      <c r="C81" s="8"/>
      <c r="E81" s="8"/>
      <c r="F81" s="8"/>
      <c r="G81" s="8"/>
      <c r="H81" s="8"/>
      <c r="J81" s="8"/>
      <c r="L81" s="8"/>
      <c r="M81" s="8"/>
      <c r="N81" s="8"/>
      <c r="O81" s="8"/>
      <c r="Q81" s="8"/>
      <c r="R81" s="8"/>
      <c r="S81" s="8"/>
      <c r="T81" s="8"/>
      <c r="U81" s="8"/>
      <c r="V81" s="8"/>
      <c r="X81" s="8"/>
    </row>
    <row r="82" spans="3:24" s="3" customFormat="1" x14ac:dyDescent="0.2">
      <c r="C82" s="8"/>
      <c r="E82" s="8"/>
      <c r="F82" s="8"/>
      <c r="G82" s="8"/>
      <c r="H82" s="8"/>
      <c r="J82" s="8"/>
      <c r="L82" s="8"/>
      <c r="M82" s="8"/>
      <c r="N82" s="8"/>
      <c r="O82" s="8"/>
      <c r="Q82" s="8"/>
      <c r="R82" s="8"/>
      <c r="S82" s="8"/>
      <c r="T82" s="8"/>
      <c r="U82" s="8"/>
      <c r="V82" s="8"/>
      <c r="X82" s="8"/>
    </row>
    <row r="83" spans="3:24" s="3" customFormat="1" x14ac:dyDescent="0.2">
      <c r="C83" s="8"/>
      <c r="E83" s="8"/>
      <c r="F83" s="8"/>
      <c r="G83" s="8"/>
      <c r="H83" s="8"/>
      <c r="J83" s="8"/>
      <c r="L83" s="8"/>
      <c r="M83" s="8"/>
      <c r="N83" s="8"/>
      <c r="O83" s="8"/>
      <c r="Q83" s="8"/>
      <c r="R83" s="8"/>
      <c r="S83" s="8"/>
      <c r="T83" s="8"/>
      <c r="U83" s="8"/>
      <c r="V83" s="8"/>
      <c r="X83" s="8"/>
    </row>
    <row r="84" spans="3:24" s="3" customFormat="1" x14ac:dyDescent="0.2">
      <c r="C84" s="8"/>
      <c r="E84" s="8"/>
      <c r="F84" s="8"/>
      <c r="G84" s="8"/>
      <c r="H84" s="8"/>
      <c r="J84" s="8"/>
      <c r="L84" s="8"/>
      <c r="M84" s="8"/>
      <c r="N84" s="8"/>
      <c r="O84" s="8"/>
      <c r="Q84" s="8"/>
      <c r="R84" s="8"/>
      <c r="S84" s="8"/>
      <c r="T84" s="8"/>
      <c r="U84" s="8"/>
      <c r="V84" s="8"/>
      <c r="X84" s="8"/>
    </row>
    <row r="85" spans="3:24" s="3" customFormat="1" x14ac:dyDescent="0.2">
      <c r="C85" s="8"/>
      <c r="E85" s="8"/>
      <c r="F85" s="8"/>
      <c r="G85" s="8"/>
      <c r="H85" s="8"/>
      <c r="J85" s="8"/>
      <c r="L85" s="8"/>
      <c r="M85" s="8"/>
      <c r="N85" s="8"/>
      <c r="O85" s="8"/>
      <c r="Q85" s="8"/>
      <c r="R85" s="8"/>
      <c r="S85" s="8"/>
      <c r="T85" s="8"/>
      <c r="U85" s="8"/>
      <c r="V85" s="8"/>
      <c r="X85" s="8"/>
    </row>
    <row r="86" spans="3:24" s="3" customFormat="1" x14ac:dyDescent="0.2">
      <c r="C86" s="8"/>
      <c r="E86" s="8"/>
      <c r="F86" s="8"/>
      <c r="G86" s="8"/>
      <c r="H86" s="8"/>
      <c r="J86" s="8"/>
      <c r="L86" s="8"/>
      <c r="M86" s="8"/>
      <c r="N86" s="8"/>
      <c r="O86" s="8"/>
      <c r="Q86" s="8"/>
      <c r="R86" s="8"/>
      <c r="S86" s="8"/>
      <c r="T86" s="8"/>
      <c r="U86" s="8"/>
      <c r="V86" s="8"/>
      <c r="X86" s="8"/>
    </row>
    <row r="87" spans="3:24" s="3" customFormat="1" x14ac:dyDescent="0.2">
      <c r="C87" s="8"/>
      <c r="E87" s="8"/>
      <c r="F87" s="8"/>
      <c r="G87" s="8"/>
      <c r="H87" s="8"/>
      <c r="J87" s="8"/>
      <c r="L87" s="8"/>
      <c r="M87" s="8"/>
      <c r="N87" s="8"/>
      <c r="O87" s="8"/>
      <c r="Q87" s="8"/>
      <c r="R87" s="8"/>
      <c r="S87" s="8"/>
      <c r="T87" s="8"/>
      <c r="U87" s="8"/>
      <c r="V87" s="8"/>
      <c r="X87" s="8"/>
    </row>
    <row r="88" spans="3:24" s="3" customFormat="1" x14ac:dyDescent="0.2">
      <c r="C88" s="8"/>
      <c r="E88" s="8"/>
      <c r="F88" s="8"/>
      <c r="G88" s="8"/>
      <c r="H88" s="8"/>
      <c r="J88" s="8"/>
      <c r="L88" s="8"/>
      <c r="M88" s="8"/>
      <c r="N88" s="8"/>
      <c r="O88" s="8"/>
      <c r="Q88" s="8"/>
      <c r="R88" s="8"/>
      <c r="S88" s="8"/>
      <c r="T88" s="8"/>
      <c r="U88" s="8"/>
      <c r="V88" s="8"/>
      <c r="X88" s="8"/>
    </row>
    <row r="89" spans="3:24" s="3" customFormat="1" x14ac:dyDescent="0.2">
      <c r="C89" s="8"/>
      <c r="E89" s="8"/>
      <c r="F89" s="8"/>
      <c r="G89" s="8"/>
      <c r="H89" s="8"/>
      <c r="J89" s="8"/>
      <c r="L89" s="8"/>
      <c r="M89" s="8"/>
      <c r="N89" s="8"/>
      <c r="O89" s="8"/>
      <c r="Q89" s="8"/>
      <c r="R89" s="8"/>
      <c r="S89" s="8"/>
      <c r="T89" s="8"/>
      <c r="U89" s="8"/>
      <c r="V89" s="8"/>
      <c r="X89" s="8"/>
    </row>
    <row r="90" spans="3:24" s="3" customFormat="1" x14ac:dyDescent="0.2">
      <c r="C90" s="8"/>
      <c r="E90" s="8"/>
      <c r="F90" s="8"/>
      <c r="G90" s="8"/>
      <c r="H90" s="8"/>
      <c r="J90" s="8"/>
      <c r="L90" s="8"/>
      <c r="M90" s="8"/>
      <c r="N90" s="8"/>
      <c r="O90" s="8"/>
      <c r="Q90" s="8"/>
      <c r="R90" s="8"/>
      <c r="S90" s="8"/>
      <c r="T90" s="8"/>
      <c r="U90" s="8"/>
      <c r="V90" s="8"/>
      <c r="X90" s="8"/>
    </row>
    <row r="91" spans="3:24" s="3" customFormat="1" x14ac:dyDescent="0.2">
      <c r="C91" s="8"/>
      <c r="E91" s="8"/>
      <c r="F91" s="8"/>
      <c r="G91" s="8"/>
      <c r="H91" s="8"/>
      <c r="J91" s="8"/>
      <c r="L91" s="8"/>
      <c r="M91" s="8"/>
      <c r="N91" s="8"/>
      <c r="O91" s="8"/>
      <c r="Q91" s="8"/>
      <c r="R91" s="8"/>
      <c r="S91" s="8"/>
      <c r="T91" s="8"/>
      <c r="U91" s="8"/>
      <c r="V91" s="8"/>
      <c r="X91" s="8"/>
    </row>
    <row r="92" spans="3:24" s="3" customFormat="1" x14ac:dyDescent="0.2">
      <c r="C92" s="8"/>
      <c r="E92" s="8"/>
      <c r="F92" s="8"/>
      <c r="G92" s="8"/>
      <c r="H92" s="8"/>
      <c r="J92" s="8"/>
      <c r="L92" s="8"/>
      <c r="M92" s="8"/>
      <c r="N92" s="8"/>
      <c r="O92" s="8"/>
      <c r="Q92" s="8"/>
      <c r="R92" s="8"/>
      <c r="S92" s="8"/>
      <c r="T92" s="8"/>
      <c r="U92" s="8"/>
      <c r="V92" s="8"/>
      <c r="X92" s="8"/>
    </row>
    <row r="93" spans="3:24" s="3" customFormat="1" x14ac:dyDescent="0.2">
      <c r="C93" s="8"/>
      <c r="E93" s="8"/>
      <c r="F93" s="8"/>
      <c r="G93" s="8"/>
      <c r="H93" s="8"/>
      <c r="J93" s="8"/>
      <c r="L93" s="8"/>
      <c r="M93" s="8"/>
      <c r="N93" s="8"/>
      <c r="O93" s="8"/>
      <c r="Q93" s="8"/>
      <c r="R93" s="8"/>
      <c r="S93" s="8"/>
      <c r="T93" s="8"/>
      <c r="U93" s="8"/>
      <c r="V93" s="8"/>
      <c r="X93" s="8"/>
    </row>
    <row r="94" spans="3:24" s="3" customFormat="1" x14ac:dyDescent="0.2">
      <c r="C94" s="8"/>
      <c r="E94" s="8"/>
      <c r="F94" s="8"/>
      <c r="G94" s="8"/>
      <c r="H94" s="8"/>
      <c r="J94" s="8"/>
      <c r="L94" s="8"/>
      <c r="M94" s="8"/>
      <c r="N94" s="8"/>
      <c r="O94" s="8"/>
      <c r="Q94" s="8"/>
      <c r="R94" s="8"/>
      <c r="S94" s="8"/>
      <c r="T94" s="8"/>
      <c r="U94" s="8"/>
      <c r="V94" s="8"/>
      <c r="X94" s="8"/>
    </row>
    <row r="95" spans="3:24" s="3" customFormat="1" x14ac:dyDescent="0.2">
      <c r="C95" s="8"/>
      <c r="E95" s="8"/>
      <c r="F95" s="8"/>
      <c r="G95" s="8"/>
      <c r="H95" s="8"/>
      <c r="J95" s="8"/>
      <c r="L95" s="8"/>
      <c r="M95" s="8"/>
      <c r="N95" s="8"/>
      <c r="O95" s="8"/>
      <c r="Q95" s="8"/>
      <c r="R95" s="8"/>
      <c r="S95" s="8"/>
      <c r="T95" s="8"/>
      <c r="U95" s="8"/>
      <c r="V95" s="8"/>
      <c r="X95" s="8"/>
    </row>
    <row r="96" spans="3:24" s="3" customFormat="1" x14ac:dyDescent="0.2">
      <c r="C96" s="8"/>
      <c r="E96" s="8"/>
      <c r="F96" s="8"/>
      <c r="G96" s="8"/>
      <c r="H96" s="8"/>
      <c r="J96" s="8"/>
      <c r="L96" s="8"/>
      <c r="M96" s="8"/>
      <c r="N96" s="8"/>
      <c r="O96" s="8"/>
      <c r="Q96" s="8"/>
      <c r="R96" s="8"/>
      <c r="S96" s="8"/>
      <c r="T96" s="8"/>
      <c r="U96" s="8"/>
      <c r="V96" s="8"/>
      <c r="X96" s="8"/>
    </row>
    <row r="97" spans="3:24" s="3" customFormat="1" x14ac:dyDescent="0.2">
      <c r="C97" s="8"/>
      <c r="E97" s="8"/>
      <c r="F97" s="8"/>
      <c r="G97" s="8"/>
      <c r="H97" s="8"/>
      <c r="J97" s="8"/>
      <c r="L97" s="8"/>
      <c r="M97" s="8"/>
      <c r="N97" s="8"/>
      <c r="O97" s="8"/>
      <c r="Q97" s="8"/>
      <c r="R97" s="8"/>
      <c r="S97" s="8"/>
      <c r="T97" s="8"/>
      <c r="U97" s="8"/>
      <c r="V97" s="8"/>
      <c r="X97" s="8"/>
    </row>
    <row r="98" spans="3:24" s="3" customFormat="1" x14ac:dyDescent="0.2">
      <c r="C98" s="8"/>
      <c r="E98" s="8"/>
      <c r="F98" s="8"/>
      <c r="G98" s="8"/>
      <c r="H98" s="8"/>
      <c r="J98" s="8"/>
      <c r="L98" s="8"/>
      <c r="M98" s="8"/>
      <c r="N98" s="8"/>
      <c r="O98" s="8"/>
      <c r="Q98" s="8"/>
      <c r="R98" s="8"/>
      <c r="S98" s="8"/>
      <c r="T98" s="8"/>
      <c r="U98" s="8"/>
      <c r="V98" s="8"/>
      <c r="X98" s="8"/>
    </row>
    <row r="99" spans="3:24" s="3" customFormat="1" x14ac:dyDescent="0.2">
      <c r="C99" s="8"/>
      <c r="E99" s="8"/>
      <c r="F99" s="8"/>
      <c r="G99" s="8"/>
      <c r="H99" s="8"/>
      <c r="J99" s="8"/>
      <c r="L99" s="8"/>
      <c r="M99" s="8"/>
      <c r="N99" s="8"/>
      <c r="O99" s="8"/>
      <c r="Q99" s="8"/>
      <c r="R99" s="8"/>
      <c r="S99" s="8"/>
      <c r="T99" s="8"/>
      <c r="U99" s="8"/>
      <c r="V99" s="8"/>
      <c r="X99" s="8"/>
    </row>
    <row r="100" spans="3:24" s="3" customFormat="1" x14ac:dyDescent="0.2">
      <c r="C100" s="8"/>
      <c r="E100" s="8"/>
      <c r="F100" s="8"/>
      <c r="G100" s="8"/>
      <c r="H100" s="8"/>
      <c r="J100" s="8"/>
      <c r="L100" s="8"/>
      <c r="M100" s="8"/>
      <c r="N100" s="8"/>
      <c r="O100" s="8"/>
      <c r="Q100" s="8"/>
      <c r="R100" s="8"/>
      <c r="S100" s="8"/>
      <c r="T100" s="8"/>
      <c r="U100" s="8"/>
      <c r="V100" s="8"/>
      <c r="X100" s="8"/>
    </row>
    <row r="101" spans="3:24" s="3" customFormat="1" x14ac:dyDescent="0.2">
      <c r="C101" s="8"/>
      <c r="E101" s="8"/>
      <c r="F101" s="8"/>
      <c r="G101" s="8"/>
      <c r="H101" s="8"/>
      <c r="J101" s="8"/>
      <c r="L101" s="8"/>
      <c r="M101" s="8"/>
      <c r="N101" s="8"/>
      <c r="O101" s="8"/>
      <c r="Q101" s="8"/>
      <c r="R101" s="8"/>
      <c r="S101" s="8"/>
      <c r="T101" s="8"/>
      <c r="U101" s="8"/>
      <c r="V101" s="8"/>
      <c r="X101" s="8"/>
    </row>
    <row r="102" spans="3:24" s="3" customFormat="1" x14ac:dyDescent="0.2">
      <c r="C102" s="8"/>
      <c r="E102" s="8"/>
      <c r="F102" s="8"/>
      <c r="G102" s="8"/>
      <c r="H102" s="8"/>
      <c r="J102" s="8"/>
      <c r="L102" s="8"/>
      <c r="M102" s="8"/>
      <c r="N102" s="8"/>
      <c r="O102" s="8"/>
      <c r="Q102" s="8"/>
      <c r="R102" s="8"/>
      <c r="S102" s="8"/>
      <c r="T102" s="8"/>
      <c r="U102" s="8"/>
      <c r="V102" s="8"/>
      <c r="X102" s="8"/>
    </row>
    <row r="103" spans="3:24" s="3" customFormat="1" x14ac:dyDescent="0.2">
      <c r="C103" s="8"/>
      <c r="E103" s="8"/>
      <c r="F103" s="8"/>
      <c r="G103" s="8"/>
      <c r="H103" s="8"/>
      <c r="J103" s="8"/>
      <c r="L103" s="8"/>
      <c r="M103" s="8"/>
      <c r="N103" s="8"/>
      <c r="O103" s="8"/>
      <c r="Q103" s="8"/>
      <c r="R103" s="8"/>
      <c r="S103" s="8"/>
      <c r="T103" s="8"/>
      <c r="U103" s="8"/>
      <c r="V103" s="8"/>
      <c r="X103" s="8"/>
    </row>
    <row r="104" spans="3:24" s="3" customFormat="1" x14ac:dyDescent="0.2">
      <c r="C104" s="8"/>
      <c r="E104" s="8"/>
      <c r="F104" s="8"/>
      <c r="G104" s="8"/>
      <c r="H104" s="8"/>
      <c r="J104" s="8"/>
      <c r="L104" s="8"/>
      <c r="M104" s="8"/>
      <c r="N104" s="8"/>
      <c r="O104" s="8"/>
      <c r="Q104" s="8"/>
      <c r="R104" s="8"/>
      <c r="S104" s="8"/>
      <c r="T104" s="8"/>
      <c r="U104" s="8"/>
      <c r="V104" s="8"/>
      <c r="X104" s="8"/>
    </row>
    <row r="105" spans="3:24" s="3" customFormat="1" x14ac:dyDescent="0.2">
      <c r="C105" s="8"/>
      <c r="E105" s="8"/>
      <c r="F105" s="8"/>
      <c r="G105" s="8"/>
      <c r="H105" s="8"/>
      <c r="J105" s="8"/>
      <c r="L105" s="8"/>
      <c r="M105" s="8"/>
      <c r="N105" s="8"/>
      <c r="O105" s="8"/>
      <c r="Q105" s="8"/>
      <c r="R105" s="8"/>
      <c r="S105" s="8"/>
      <c r="T105" s="8"/>
      <c r="U105" s="8"/>
      <c r="V105" s="8"/>
      <c r="X105" s="8"/>
    </row>
    <row r="106" spans="3:24" s="3" customFormat="1" x14ac:dyDescent="0.2">
      <c r="C106" s="8"/>
      <c r="E106" s="8"/>
      <c r="F106" s="8"/>
      <c r="G106" s="8"/>
      <c r="H106" s="8"/>
      <c r="J106" s="8"/>
      <c r="L106" s="8"/>
      <c r="M106" s="8"/>
      <c r="N106" s="8"/>
      <c r="O106" s="8"/>
      <c r="Q106" s="8"/>
      <c r="R106" s="8"/>
      <c r="S106" s="8"/>
      <c r="T106" s="8"/>
      <c r="U106" s="8"/>
      <c r="V106" s="8"/>
      <c r="X106" s="8"/>
    </row>
    <row r="107" spans="3:24" s="3" customFormat="1" x14ac:dyDescent="0.2">
      <c r="C107" s="8"/>
      <c r="E107" s="8"/>
      <c r="F107" s="8"/>
      <c r="G107" s="8"/>
      <c r="H107" s="8"/>
      <c r="J107" s="8"/>
      <c r="L107" s="8"/>
      <c r="M107" s="8"/>
      <c r="N107" s="8"/>
      <c r="O107" s="8"/>
      <c r="Q107" s="8"/>
      <c r="R107" s="8"/>
      <c r="S107" s="8"/>
      <c r="T107" s="8"/>
      <c r="U107" s="8"/>
      <c r="V107" s="8"/>
      <c r="X107" s="8"/>
    </row>
    <row r="108" spans="3:24" s="3" customFormat="1" x14ac:dyDescent="0.2">
      <c r="C108" s="8"/>
      <c r="E108" s="8"/>
      <c r="F108" s="8"/>
      <c r="G108" s="8"/>
      <c r="H108" s="8"/>
      <c r="J108" s="8"/>
      <c r="L108" s="8"/>
      <c r="M108" s="8"/>
      <c r="N108" s="8"/>
      <c r="O108" s="8"/>
      <c r="Q108" s="8"/>
      <c r="R108" s="8"/>
      <c r="S108" s="8"/>
      <c r="T108" s="8"/>
      <c r="U108" s="8"/>
      <c r="V108" s="8"/>
      <c r="X108" s="8"/>
    </row>
    <row r="109" spans="3:24" s="3" customFormat="1" x14ac:dyDescent="0.2">
      <c r="C109" s="8"/>
      <c r="E109" s="8"/>
      <c r="F109" s="8"/>
      <c r="G109" s="8"/>
      <c r="H109" s="8"/>
      <c r="J109" s="8"/>
      <c r="L109" s="8"/>
      <c r="M109" s="8"/>
      <c r="N109" s="8"/>
      <c r="O109" s="8"/>
      <c r="Q109" s="8"/>
      <c r="R109" s="8"/>
      <c r="S109" s="8"/>
      <c r="T109" s="8"/>
      <c r="U109" s="8"/>
      <c r="V109" s="8"/>
      <c r="X109" s="8"/>
    </row>
    <row r="110" spans="3:24" s="3" customFormat="1" x14ac:dyDescent="0.2">
      <c r="C110" s="8"/>
      <c r="E110" s="8"/>
      <c r="F110" s="8"/>
      <c r="G110" s="8"/>
      <c r="H110" s="8"/>
      <c r="J110" s="8"/>
      <c r="L110" s="8"/>
      <c r="M110" s="8"/>
      <c r="N110" s="8"/>
      <c r="O110" s="8"/>
      <c r="Q110" s="8"/>
      <c r="R110" s="8"/>
      <c r="S110" s="8"/>
      <c r="T110" s="8"/>
      <c r="U110" s="8"/>
      <c r="V110" s="8"/>
      <c r="X110" s="8"/>
    </row>
    <row r="111" spans="3:24" s="3" customFormat="1" x14ac:dyDescent="0.2">
      <c r="C111" s="8"/>
      <c r="E111" s="8"/>
      <c r="F111" s="8"/>
      <c r="G111" s="8"/>
      <c r="H111" s="8"/>
      <c r="J111" s="8"/>
      <c r="L111" s="8"/>
      <c r="M111" s="8"/>
      <c r="N111" s="8"/>
      <c r="O111" s="8"/>
      <c r="Q111" s="8"/>
      <c r="R111" s="8"/>
      <c r="S111" s="8"/>
      <c r="T111" s="8"/>
      <c r="U111" s="8"/>
      <c r="V111" s="8"/>
      <c r="X111" s="8"/>
    </row>
    <row r="112" spans="3:24" s="3" customFormat="1" x14ac:dyDescent="0.2">
      <c r="C112" s="8"/>
      <c r="E112" s="8"/>
      <c r="F112" s="8"/>
      <c r="G112" s="8"/>
      <c r="H112" s="8"/>
      <c r="J112" s="8"/>
      <c r="L112" s="8"/>
      <c r="M112" s="8"/>
      <c r="N112" s="8"/>
      <c r="O112" s="8"/>
      <c r="Q112" s="8"/>
      <c r="R112" s="8"/>
      <c r="S112" s="8"/>
      <c r="T112" s="8"/>
      <c r="U112" s="8"/>
      <c r="V112" s="8"/>
      <c r="X112" s="8"/>
    </row>
    <row r="113" spans="3:24" s="3" customFormat="1" x14ac:dyDescent="0.2">
      <c r="C113" s="8"/>
      <c r="E113" s="8"/>
      <c r="F113" s="8"/>
      <c r="G113" s="8"/>
      <c r="H113" s="8"/>
      <c r="J113" s="8"/>
      <c r="L113" s="8"/>
      <c r="M113" s="8"/>
      <c r="N113" s="8"/>
      <c r="O113" s="8"/>
      <c r="Q113" s="8"/>
      <c r="R113" s="8"/>
      <c r="S113" s="8"/>
      <c r="T113" s="8"/>
      <c r="U113" s="8"/>
      <c r="V113" s="8"/>
      <c r="X113" s="8"/>
    </row>
    <row r="114" spans="3:24" s="3" customFormat="1" x14ac:dyDescent="0.2">
      <c r="C114" s="8"/>
      <c r="E114" s="8"/>
      <c r="F114" s="8"/>
      <c r="G114" s="8"/>
      <c r="H114" s="8"/>
      <c r="J114" s="8"/>
      <c r="L114" s="8"/>
      <c r="M114" s="8"/>
      <c r="N114" s="8"/>
      <c r="O114" s="8"/>
      <c r="Q114" s="8"/>
      <c r="R114" s="8"/>
      <c r="S114" s="8"/>
      <c r="T114" s="8"/>
      <c r="U114" s="8"/>
      <c r="V114" s="8"/>
      <c r="X114" s="8"/>
    </row>
    <row r="115" spans="3:24" s="3" customFormat="1" x14ac:dyDescent="0.2">
      <c r="C115" s="8"/>
      <c r="E115" s="8"/>
      <c r="F115" s="8"/>
      <c r="G115" s="8"/>
      <c r="H115" s="8"/>
      <c r="J115" s="8"/>
      <c r="L115" s="8"/>
      <c r="M115" s="8"/>
      <c r="N115" s="8"/>
      <c r="O115" s="8"/>
      <c r="Q115" s="8"/>
      <c r="R115" s="8"/>
      <c r="S115" s="8"/>
      <c r="T115" s="8"/>
      <c r="U115" s="8"/>
      <c r="V115" s="8"/>
      <c r="X115" s="8"/>
    </row>
    <row r="116" spans="3:24" s="3" customFormat="1" x14ac:dyDescent="0.2">
      <c r="C116" s="8"/>
      <c r="E116" s="8"/>
      <c r="F116" s="8"/>
      <c r="G116" s="8"/>
      <c r="H116" s="8"/>
      <c r="J116" s="8"/>
      <c r="L116" s="8"/>
      <c r="M116" s="8"/>
      <c r="N116" s="8"/>
      <c r="O116" s="8"/>
      <c r="Q116" s="8"/>
      <c r="R116" s="8"/>
      <c r="S116" s="8"/>
      <c r="T116" s="8"/>
      <c r="U116" s="8"/>
      <c r="V116" s="8"/>
      <c r="X116" s="8"/>
    </row>
    <row r="117" spans="3:24" s="3" customFormat="1" x14ac:dyDescent="0.2">
      <c r="C117" s="8"/>
      <c r="E117" s="8"/>
      <c r="F117" s="8"/>
      <c r="G117" s="8"/>
      <c r="H117" s="8"/>
      <c r="J117" s="8"/>
      <c r="L117" s="8"/>
      <c r="M117" s="8"/>
      <c r="N117" s="8"/>
      <c r="O117" s="8"/>
      <c r="Q117" s="8"/>
      <c r="R117" s="8"/>
      <c r="S117" s="8"/>
      <c r="T117" s="8"/>
      <c r="U117" s="8"/>
      <c r="V117" s="8"/>
      <c r="X117" s="8"/>
    </row>
    <row r="118" spans="3:24" s="3" customFormat="1" x14ac:dyDescent="0.2">
      <c r="C118" s="8"/>
      <c r="E118" s="8"/>
      <c r="F118" s="8"/>
      <c r="G118" s="8"/>
      <c r="H118" s="8"/>
      <c r="J118" s="8"/>
      <c r="L118" s="8"/>
      <c r="M118" s="8"/>
      <c r="N118" s="8"/>
      <c r="O118" s="8"/>
      <c r="Q118" s="8"/>
      <c r="R118" s="8"/>
      <c r="S118" s="8"/>
      <c r="T118" s="8"/>
      <c r="U118" s="8"/>
      <c r="V118" s="8"/>
      <c r="X118" s="8"/>
    </row>
    <row r="119" spans="3:24" s="3" customFormat="1" x14ac:dyDescent="0.2">
      <c r="C119" s="8"/>
      <c r="E119" s="8"/>
      <c r="F119" s="8"/>
      <c r="G119" s="8"/>
      <c r="H119" s="8"/>
      <c r="J119" s="8"/>
      <c r="L119" s="8"/>
      <c r="M119" s="8"/>
      <c r="N119" s="8"/>
      <c r="O119" s="8"/>
      <c r="Q119" s="8"/>
      <c r="R119" s="8"/>
      <c r="S119" s="8"/>
      <c r="T119" s="8"/>
      <c r="U119" s="8"/>
      <c r="V119" s="8"/>
      <c r="X119" s="8"/>
    </row>
    <row r="120" spans="3:24" s="3" customFormat="1" x14ac:dyDescent="0.2">
      <c r="C120" s="8"/>
      <c r="E120" s="8"/>
      <c r="F120" s="8"/>
      <c r="G120" s="8"/>
      <c r="H120" s="8"/>
      <c r="J120" s="8"/>
      <c r="L120" s="8"/>
      <c r="M120" s="8"/>
      <c r="N120" s="8"/>
      <c r="O120" s="8"/>
      <c r="Q120" s="8"/>
      <c r="R120" s="8"/>
      <c r="S120" s="8"/>
      <c r="T120" s="8"/>
      <c r="U120" s="8"/>
      <c r="V120" s="8"/>
      <c r="X120" s="8"/>
    </row>
    <row r="121" spans="3:24" s="3" customFormat="1" x14ac:dyDescent="0.2">
      <c r="C121" s="8"/>
      <c r="E121" s="8"/>
      <c r="F121" s="8"/>
      <c r="G121" s="8"/>
      <c r="H121" s="8"/>
      <c r="J121" s="8"/>
      <c r="L121" s="8"/>
      <c r="M121" s="8"/>
      <c r="N121" s="8"/>
      <c r="O121" s="8"/>
      <c r="Q121" s="8"/>
      <c r="R121" s="8"/>
      <c r="S121" s="8"/>
      <c r="T121" s="8"/>
      <c r="U121" s="8"/>
      <c r="V121" s="8"/>
      <c r="X121" s="8"/>
    </row>
    <row r="122" spans="3:24" s="3" customFormat="1" x14ac:dyDescent="0.2">
      <c r="C122" s="8"/>
      <c r="E122" s="8"/>
      <c r="F122" s="8"/>
      <c r="G122" s="8"/>
      <c r="H122" s="8"/>
      <c r="J122" s="8"/>
      <c r="L122" s="8"/>
      <c r="M122" s="8"/>
      <c r="N122" s="8"/>
      <c r="O122" s="8"/>
      <c r="Q122" s="8"/>
      <c r="R122" s="8"/>
      <c r="S122" s="8"/>
      <c r="T122" s="8"/>
      <c r="U122" s="8"/>
      <c r="V122" s="8"/>
      <c r="X122" s="8"/>
    </row>
    <row r="123" spans="3:24" s="3" customFormat="1" x14ac:dyDescent="0.2">
      <c r="C123" s="8"/>
      <c r="E123" s="8"/>
      <c r="F123" s="8"/>
      <c r="G123" s="8"/>
      <c r="H123" s="8"/>
      <c r="J123" s="8"/>
      <c r="L123" s="8"/>
      <c r="M123" s="8"/>
      <c r="N123" s="8"/>
      <c r="O123" s="8"/>
      <c r="Q123" s="8"/>
      <c r="R123" s="8"/>
      <c r="S123" s="8"/>
      <c r="T123" s="8"/>
      <c r="U123" s="8"/>
      <c r="V123" s="8"/>
      <c r="X123" s="8"/>
    </row>
    <row r="124" spans="3:24" s="3" customFormat="1" x14ac:dyDescent="0.2">
      <c r="C124" s="8"/>
      <c r="E124" s="8"/>
      <c r="F124" s="8"/>
      <c r="G124" s="8"/>
      <c r="H124" s="8"/>
      <c r="J124" s="8"/>
      <c r="L124" s="8"/>
      <c r="M124" s="8"/>
      <c r="N124" s="8"/>
      <c r="O124" s="8"/>
      <c r="Q124" s="8"/>
      <c r="R124" s="8"/>
      <c r="S124" s="8"/>
      <c r="T124" s="8"/>
      <c r="U124" s="8"/>
      <c r="V124" s="8"/>
      <c r="X124" s="8"/>
    </row>
    <row r="125" spans="3:24" s="3" customFormat="1" x14ac:dyDescent="0.2">
      <c r="C125" s="8"/>
      <c r="E125" s="8"/>
      <c r="F125" s="8"/>
      <c r="G125" s="8"/>
      <c r="H125" s="8"/>
      <c r="J125" s="8"/>
      <c r="L125" s="8"/>
      <c r="M125" s="8"/>
      <c r="N125" s="8"/>
      <c r="O125" s="8"/>
      <c r="Q125" s="8"/>
      <c r="R125" s="8"/>
      <c r="S125" s="8"/>
      <c r="T125" s="8"/>
      <c r="U125" s="8"/>
      <c r="V125" s="8"/>
      <c r="X125" s="8"/>
    </row>
    <row r="126" spans="3:24" s="3" customFormat="1" x14ac:dyDescent="0.2">
      <c r="C126" s="8"/>
      <c r="E126" s="8"/>
      <c r="F126" s="8"/>
      <c r="G126" s="8"/>
      <c r="H126" s="8"/>
      <c r="J126" s="8"/>
      <c r="L126" s="8"/>
      <c r="M126" s="8"/>
      <c r="N126" s="8"/>
      <c r="O126" s="8"/>
      <c r="Q126" s="8"/>
      <c r="R126" s="8"/>
      <c r="S126" s="8"/>
      <c r="T126" s="8"/>
      <c r="U126" s="8"/>
      <c r="V126" s="8"/>
      <c r="X126" s="8"/>
    </row>
    <row r="127" spans="3:24" s="3" customFormat="1" x14ac:dyDescent="0.2">
      <c r="C127" s="8"/>
      <c r="E127" s="8"/>
      <c r="F127" s="8"/>
      <c r="G127" s="8"/>
      <c r="H127" s="8"/>
      <c r="J127" s="8"/>
      <c r="L127" s="8"/>
      <c r="M127" s="8"/>
      <c r="N127" s="8"/>
      <c r="O127" s="8"/>
      <c r="Q127" s="8"/>
      <c r="R127" s="8"/>
      <c r="S127" s="8"/>
      <c r="T127" s="8"/>
      <c r="U127" s="8"/>
      <c r="V127" s="8"/>
      <c r="X127" s="8"/>
    </row>
    <row r="128" spans="3:24" s="3" customFormat="1" x14ac:dyDescent="0.2">
      <c r="C128" s="8"/>
      <c r="E128" s="8"/>
      <c r="F128" s="8"/>
      <c r="G128" s="8"/>
      <c r="H128" s="8"/>
      <c r="J128" s="8"/>
      <c r="L128" s="8"/>
      <c r="M128" s="8"/>
      <c r="N128" s="8"/>
      <c r="O128" s="8"/>
      <c r="Q128" s="8"/>
      <c r="R128" s="8"/>
      <c r="S128" s="8"/>
      <c r="T128" s="8"/>
      <c r="U128" s="8"/>
      <c r="V128" s="8"/>
      <c r="X128" s="8"/>
    </row>
    <row r="129" spans="3:24" s="3" customFormat="1" x14ac:dyDescent="0.2">
      <c r="C129" s="8"/>
      <c r="E129" s="8"/>
      <c r="F129" s="8"/>
      <c r="G129" s="8"/>
      <c r="H129" s="8"/>
      <c r="J129" s="8"/>
      <c r="L129" s="8"/>
      <c r="M129" s="8"/>
      <c r="N129" s="8"/>
      <c r="O129" s="8"/>
      <c r="Q129" s="8"/>
      <c r="R129" s="8"/>
      <c r="S129" s="8"/>
      <c r="T129" s="8"/>
      <c r="U129" s="8"/>
      <c r="V129" s="8"/>
      <c r="X129" s="8"/>
    </row>
  </sheetData>
  <mergeCells count="3">
    <mergeCell ref="E3:H3"/>
    <mergeCell ref="L3:O3"/>
    <mergeCell ref="S3:V3"/>
  </mergeCells>
  <pageMargins left="0.25" right="0.25" top="0.75" bottom="0.75" header="0.3" footer="0.3"/>
  <pageSetup scale="6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0079FF"/>
    <pageSetUpPr fitToPage="1"/>
  </sheetPr>
  <dimension ref="A1:AK115"/>
  <sheetViews>
    <sheetView zoomScale="65" zoomScaleNormal="65" zoomScaleSheetLayoutView="85" workbookViewId="0">
      <pane xSplit="1" ySplit="4" topLeftCell="B5" activePane="bottomRight" state="frozen"/>
      <selection activeCell="B2" sqref="B2"/>
      <selection pane="topRight" activeCell="B2" sqref="B2"/>
      <selection pane="bottomLeft" activeCell="B2" sqref="B2"/>
      <selection pane="bottomRight" activeCell="L42" sqref="L42"/>
    </sheetView>
  </sheetViews>
  <sheetFormatPr defaultColWidth="9.140625" defaultRowHeight="11.25" outlineLevelCol="2" x14ac:dyDescent="0.2"/>
  <cols>
    <col min="1" max="1" width="55" style="4" bestFit="1" customWidth="1"/>
    <col min="2" max="2" width="20.7109375" style="4" customWidth="1" outlineLevel="1"/>
    <col min="3" max="3" width="20.7109375" style="8" customWidth="1" outlineLevel="1"/>
    <col min="4" max="4" width="1.140625" style="3" hidden="1" customWidth="1" outlineLevel="2"/>
    <col min="5" max="8" width="20.7109375" style="8" hidden="1" customWidth="1" outlineLevel="2"/>
    <col min="9" max="9" width="1.140625" style="3" hidden="1" customWidth="1" outlineLevel="2"/>
    <col min="10" max="10" width="20.7109375" style="8" customWidth="1" outlineLevel="1" collapsed="1"/>
    <col min="11" max="11" width="1.140625" style="3" customWidth="1"/>
    <col min="12" max="15" width="20.7109375" style="8" customWidth="1" outlineLevel="1"/>
    <col min="16" max="16" width="1.140625" style="3" customWidth="1"/>
    <col min="17" max="17" width="20.7109375" style="8" customWidth="1"/>
    <col min="18" max="18" width="1.28515625" style="8" customWidth="1"/>
    <col min="19" max="22" width="20.7109375" style="8" customWidth="1"/>
    <col min="23" max="23" width="1.140625" style="8" customWidth="1"/>
    <col min="24" max="24" width="20.7109375" style="8" customWidth="1"/>
    <col min="25" max="37" width="12" style="8" customWidth="1"/>
    <col min="38" max="16384" width="9.140625" style="8"/>
  </cols>
  <sheetData>
    <row r="1" spans="1:37" ht="18" x14ac:dyDescent="0.25">
      <c r="A1" s="198" t="s">
        <v>178</v>
      </c>
      <c r="B1" s="3"/>
      <c r="D1" s="24"/>
      <c r="I1" s="24"/>
      <c r="K1" s="24"/>
      <c r="P1" s="24"/>
    </row>
    <row r="2" spans="1:37" x14ac:dyDescent="0.2">
      <c r="A2" s="1"/>
      <c r="B2" s="1"/>
      <c r="C2" s="9"/>
      <c r="D2" s="1"/>
      <c r="E2" s="9"/>
      <c r="F2" s="9"/>
      <c r="G2" s="9"/>
      <c r="H2" s="9"/>
      <c r="I2" s="1"/>
      <c r="J2" s="9"/>
      <c r="K2" s="1"/>
      <c r="L2" s="9"/>
      <c r="M2" s="9"/>
      <c r="N2" s="9"/>
      <c r="O2" s="9"/>
      <c r="P2" s="1"/>
      <c r="Q2" s="9"/>
      <c r="R2" s="9"/>
      <c r="S2" s="9"/>
      <c r="T2" s="9"/>
      <c r="U2" s="9"/>
      <c r="V2" s="9"/>
      <c r="W2" s="9"/>
      <c r="X2" s="9"/>
      <c r="Y2" s="9"/>
      <c r="Z2" s="9"/>
      <c r="AA2" s="9"/>
      <c r="AB2" s="9"/>
      <c r="AC2" s="9"/>
      <c r="AD2" s="9"/>
      <c r="AE2" s="9"/>
      <c r="AF2" s="9"/>
      <c r="AG2" s="9"/>
      <c r="AH2" s="9"/>
      <c r="AI2" s="9"/>
      <c r="AJ2" s="9"/>
      <c r="AK2" s="9"/>
    </row>
    <row r="3" spans="1:37" s="24" customFormat="1" ht="30" customHeight="1" x14ac:dyDescent="0.25">
      <c r="A3" s="83"/>
      <c r="B3" s="98" t="s">
        <v>31</v>
      </c>
      <c r="C3" s="98" t="s">
        <v>31</v>
      </c>
      <c r="D3" s="79"/>
      <c r="E3" s="354" t="s">
        <v>1</v>
      </c>
      <c r="F3" s="354"/>
      <c r="G3" s="354"/>
      <c r="H3" s="354"/>
      <c r="I3" s="79"/>
      <c r="J3" s="196" t="s">
        <v>31</v>
      </c>
      <c r="K3" s="79"/>
      <c r="L3" s="354" t="s">
        <v>1</v>
      </c>
      <c r="M3" s="354"/>
      <c r="N3" s="354"/>
      <c r="O3" s="354"/>
      <c r="P3" s="79"/>
      <c r="Q3" s="262" t="s">
        <v>31</v>
      </c>
      <c r="R3" s="99"/>
      <c r="S3" s="354" t="s">
        <v>1</v>
      </c>
      <c r="T3" s="354"/>
      <c r="U3" s="354"/>
      <c r="V3" s="354"/>
      <c r="X3" s="302" t="s">
        <v>31</v>
      </c>
      <c r="Y3" s="99"/>
      <c r="Z3" s="99"/>
      <c r="AA3" s="99"/>
    </row>
    <row r="4" spans="1:37" s="24" customFormat="1" ht="30" customHeight="1" x14ac:dyDescent="0.25">
      <c r="A4" s="83" t="s">
        <v>0</v>
      </c>
      <c r="B4" s="100" t="s">
        <v>155</v>
      </c>
      <c r="C4" s="101" t="s">
        <v>159</v>
      </c>
      <c r="D4" s="85"/>
      <c r="E4" s="84" t="s">
        <v>156</v>
      </c>
      <c r="F4" s="84" t="s">
        <v>157</v>
      </c>
      <c r="G4" s="84" t="s">
        <v>158</v>
      </c>
      <c r="H4" s="84" t="s">
        <v>100</v>
      </c>
      <c r="I4" s="85"/>
      <c r="J4" s="84" t="s">
        <v>100</v>
      </c>
      <c r="K4" s="85"/>
      <c r="L4" s="84" t="s">
        <v>148</v>
      </c>
      <c r="M4" s="84" t="s">
        <v>149</v>
      </c>
      <c r="N4" s="84" t="s">
        <v>109</v>
      </c>
      <c r="O4" s="84" t="s">
        <v>314</v>
      </c>
      <c r="P4" s="85"/>
      <c r="Q4" s="84" t="s">
        <v>314</v>
      </c>
      <c r="R4" s="99"/>
      <c r="S4" s="84" t="s">
        <v>327</v>
      </c>
      <c r="T4" s="84" t="s">
        <v>330</v>
      </c>
      <c r="U4" s="84" t="s">
        <v>338</v>
      </c>
      <c r="V4" s="84" t="s">
        <v>346</v>
      </c>
      <c r="X4" s="84" t="s">
        <v>346</v>
      </c>
      <c r="Y4" s="99"/>
      <c r="Z4" s="99"/>
      <c r="AA4" s="99"/>
    </row>
    <row r="5" spans="1:37" s="47" customFormat="1" ht="16.5" x14ac:dyDescent="0.25">
      <c r="A5" s="119"/>
      <c r="B5" s="119"/>
      <c r="D5" s="51"/>
      <c r="I5" s="51"/>
      <c r="K5" s="51"/>
      <c r="P5" s="51"/>
    </row>
    <row r="6" spans="1:37" s="47" customFormat="1" ht="16.5" x14ac:dyDescent="0.25">
      <c r="A6" s="65" t="s">
        <v>34</v>
      </c>
      <c r="B6" s="88">
        <v>29.795000000000002</v>
      </c>
      <c r="C6" s="88">
        <v>54</v>
      </c>
      <c r="D6" s="55"/>
      <c r="E6" s="88">
        <v>11.3</v>
      </c>
      <c r="F6" s="88">
        <v>26.2</v>
      </c>
      <c r="G6" s="88">
        <v>25.6</v>
      </c>
      <c r="H6" s="88">
        <v>29.3</v>
      </c>
      <c r="I6" s="55"/>
      <c r="J6" s="88">
        <v>93.1</v>
      </c>
      <c r="K6" s="55"/>
      <c r="L6" s="88">
        <v>12.4</v>
      </c>
      <c r="M6" s="88">
        <v>10.026</v>
      </c>
      <c r="N6" s="88">
        <v>26.459</v>
      </c>
      <c r="O6" s="88">
        <v>18.164999999999999</v>
      </c>
      <c r="P6" s="55"/>
      <c r="Q6" s="88">
        <v>67.004000000000005</v>
      </c>
      <c r="R6" s="105"/>
      <c r="S6" s="88">
        <v>6.1150000000000002</v>
      </c>
      <c r="T6" s="88">
        <v>31.387</v>
      </c>
      <c r="U6" s="88">
        <v>26.882000000000001</v>
      </c>
      <c r="V6" s="88">
        <v>17.582000000000001</v>
      </c>
      <c r="W6" s="105"/>
      <c r="X6" s="88">
        <f>+S6+T6+U6+V6</f>
        <v>81.966000000000008</v>
      </c>
      <c r="Y6" s="105"/>
      <c r="Z6" s="105"/>
      <c r="AA6" s="105"/>
      <c r="AB6" s="105"/>
      <c r="AC6" s="105"/>
      <c r="AD6" s="122"/>
      <c r="AE6" s="122"/>
      <c r="AF6" s="122"/>
      <c r="AG6" s="122"/>
      <c r="AH6" s="122"/>
      <c r="AI6" s="122"/>
    </row>
    <row r="7" spans="1:37" s="47" customFormat="1" ht="16.5" x14ac:dyDescent="0.25">
      <c r="A7" s="65" t="s">
        <v>98</v>
      </c>
      <c r="B7" s="112">
        <v>4.2000000000000003E-2</v>
      </c>
      <c r="C7" s="112">
        <v>7.2999999999999995E-2</v>
      </c>
      <c r="D7" s="60"/>
      <c r="E7" s="112">
        <v>0.06</v>
      </c>
      <c r="F7" s="112">
        <v>0.13100000000000001</v>
      </c>
      <c r="G7" s="112">
        <v>0.13</v>
      </c>
      <c r="H7" s="112">
        <v>0.13800000000000001</v>
      </c>
      <c r="I7" s="60"/>
      <c r="J7" s="112">
        <v>0.11700000000000001</v>
      </c>
      <c r="K7" s="60"/>
      <c r="L7" s="112">
        <v>0.06</v>
      </c>
      <c r="M7" s="112">
        <v>4.7E-2</v>
      </c>
      <c r="N7" s="112">
        <v>0.121</v>
      </c>
      <c r="O7" s="112">
        <v>8.5999999999999993E-2</v>
      </c>
      <c r="P7" s="60"/>
      <c r="Q7" s="112">
        <v>7.9000000000000001E-2</v>
      </c>
      <c r="R7" s="106"/>
      <c r="S7" s="112">
        <v>3.3000000000000002E-2</v>
      </c>
      <c r="T7" s="112">
        <v>0.154</v>
      </c>
      <c r="U7" s="112">
        <v>0.125</v>
      </c>
      <c r="V7" s="112">
        <v>7.8E-2</v>
      </c>
      <c r="W7" s="106"/>
      <c r="X7" s="112">
        <v>9.9000000000000005E-2</v>
      </c>
      <c r="Y7" s="106"/>
      <c r="Z7" s="106"/>
      <c r="AA7" s="106"/>
      <c r="AB7" s="106"/>
      <c r="AC7" s="106"/>
      <c r="AD7" s="106"/>
      <c r="AE7" s="106"/>
      <c r="AF7" s="106"/>
      <c r="AG7" s="106"/>
      <c r="AH7" s="106"/>
      <c r="AI7" s="106"/>
    </row>
    <row r="8" spans="1:37" s="47" customFormat="1" ht="16.5" x14ac:dyDescent="0.25">
      <c r="A8" s="65"/>
      <c r="B8" s="68"/>
      <c r="C8" s="68"/>
      <c r="D8" s="60"/>
      <c r="E8" s="68"/>
      <c r="F8" s="68"/>
      <c r="G8" s="68"/>
      <c r="H8" s="68"/>
      <c r="I8" s="60"/>
      <c r="J8" s="68"/>
      <c r="K8" s="60"/>
      <c r="L8" s="68"/>
      <c r="M8" s="68"/>
      <c r="N8" s="68"/>
      <c r="O8" s="68"/>
      <c r="P8" s="60"/>
      <c r="Q8" s="68"/>
      <c r="R8" s="106"/>
      <c r="S8" s="68"/>
      <c r="T8" s="68"/>
      <c r="U8" s="298"/>
      <c r="V8" s="298"/>
      <c r="W8" s="106"/>
      <c r="X8" s="298"/>
      <c r="Y8" s="106"/>
      <c r="Z8" s="106"/>
      <c r="AA8" s="106"/>
      <c r="AB8" s="106"/>
      <c r="AC8" s="106"/>
      <c r="AD8" s="106"/>
      <c r="AE8" s="106"/>
      <c r="AF8" s="106"/>
      <c r="AG8" s="106"/>
      <c r="AH8" s="106"/>
      <c r="AI8" s="106"/>
    </row>
    <row r="9" spans="1:37" s="47" customFormat="1" ht="16.5" x14ac:dyDescent="0.25">
      <c r="A9" s="58" t="s">
        <v>42</v>
      </c>
      <c r="B9" s="61">
        <v>10.266</v>
      </c>
      <c r="C9" s="61">
        <v>14.9</v>
      </c>
      <c r="D9" s="60"/>
      <c r="E9" s="61">
        <v>2.7</v>
      </c>
      <c r="F9" s="61">
        <v>2.2000000000000002</v>
      </c>
      <c r="G9" s="61">
        <v>4</v>
      </c>
      <c r="H9" s="61">
        <v>6.3</v>
      </c>
      <c r="I9" s="60"/>
      <c r="J9" s="61">
        <v>15</v>
      </c>
      <c r="K9" s="60"/>
      <c r="L9" s="61">
        <v>8.8000000000000007</v>
      </c>
      <c r="M9" s="61">
        <v>6.9880000000000004</v>
      </c>
      <c r="N9" s="61">
        <v>6.2130000000000001</v>
      </c>
      <c r="O9" s="61">
        <v>4.702</v>
      </c>
      <c r="P9" s="60"/>
      <c r="Q9" s="61">
        <v>26.675000000000001</v>
      </c>
      <c r="R9" s="106"/>
      <c r="S9" s="61">
        <f>'CES Revenue Metrics'!S20</f>
        <v>3.2620000000000076</v>
      </c>
      <c r="T9" s="61">
        <f>'CES Revenue Metrics'!T20</f>
        <v>3.0660000000000025</v>
      </c>
      <c r="U9" s="61">
        <f>'CES Revenue Metrics'!U20</f>
        <v>2.2270000000000039</v>
      </c>
      <c r="V9" s="61">
        <f>'CES Revenue Metrics'!V20</f>
        <v>1.7810000000000059</v>
      </c>
      <c r="W9" s="106"/>
      <c r="X9" s="61">
        <f t="shared" ref="X9:X17" si="0">+S9+T9+U9+V9</f>
        <v>10.33600000000002</v>
      </c>
      <c r="Y9" s="106"/>
      <c r="Z9" s="106"/>
      <c r="AA9" s="106"/>
      <c r="AB9" s="106"/>
      <c r="AC9" s="106"/>
      <c r="AD9" s="106"/>
      <c r="AE9" s="106"/>
      <c r="AF9" s="106"/>
      <c r="AG9" s="106"/>
      <c r="AH9" s="106"/>
      <c r="AI9" s="106"/>
    </row>
    <row r="10" spans="1:37" s="47" customFormat="1" ht="16.5" x14ac:dyDescent="0.25">
      <c r="A10" s="58" t="s">
        <v>27</v>
      </c>
      <c r="B10" s="61">
        <f>+'CES Gross Profit'!B10</f>
        <v>21.166</v>
      </c>
      <c r="C10" s="61">
        <f>+'CES Gross Profit'!C10</f>
        <v>22.21</v>
      </c>
      <c r="D10" s="67"/>
      <c r="E10" s="61">
        <f>+'CES Gross Profit'!E10</f>
        <v>4.2649999999999997</v>
      </c>
      <c r="F10" s="61">
        <f>+'CES Gross Profit'!F10</f>
        <v>4.1040000000000001</v>
      </c>
      <c r="G10" s="61">
        <f>+'CES Gross Profit'!G10</f>
        <v>4.5723000000000003</v>
      </c>
      <c r="H10" s="61">
        <f>+'CES Gross Profit'!H10</f>
        <v>5.0430000000000001</v>
      </c>
      <c r="I10" s="67"/>
      <c r="J10" s="61">
        <f>+'CES Gross Profit'!J10</f>
        <v>17.984999999999999</v>
      </c>
      <c r="K10" s="67"/>
      <c r="L10" s="61">
        <f>+'CES Gross Profit'!L10</f>
        <v>5.3879999999999999</v>
      </c>
      <c r="M10" s="61">
        <v>5.2240000000000002</v>
      </c>
      <c r="N10" s="61">
        <v>5.6050000000000004</v>
      </c>
      <c r="O10" s="61">
        <v>5.3609999999999998</v>
      </c>
      <c r="P10" s="67"/>
      <c r="Q10" s="61">
        <v>21.577999999999999</v>
      </c>
      <c r="R10" s="106"/>
      <c r="S10" s="61">
        <f>'CES Gross Profit'!S10</f>
        <v>4.3559999999999999</v>
      </c>
      <c r="T10" s="61">
        <f>'CES Gross Profit'!T10</f>
        <v>4.1890000000000001</v>
      </c>
      <c r="U10" s="61">
        <f>'CES Gross Profit'!U10</f>
        <v>4.0449999999999999</v>
      </c>
      <c r="V10" s="61">
        <f>'CES Gross Profit'!V10</f>
        <v>5.3730000000000002</v>
      </c>
      <c r="W10" s="106"/>
      <c r="X10" s="61">
        <f t="shared" si="0"/>
        <v>17.963000000000001</v>
      </c>
      <c r="Y10" s="106"/>
      <c r="Z10" s="106"/>
      <c r="AA10" s="106"/>
      <c r="AB10" s="106"/>
      <c r="AC10" s="106"/>
      <c r="AD10" s="106"/>
      <c r="AE10" s="106"/>
      <c r="AF10" s="106"/>
      <c r="AG10" s="106"/>
      <c r="AH10" s="106"/>
      <c r="AI10" s="106"/>
    </row>
    <row r="11" spans="1:37" s="47" customFormat="1" ht="16.5" x14ac:dyDescent="0.25">
      <c r="A11" s="58" t="s">
        <v>10</v>
      </c>
      <c r="B11" s="61">
        <v>42.537999999999997</v>
      </c>
      <c r="C11" s="61">
        <v>33.299999999999997</v>
      </c>
      <c r="D11" s="67"/>
      <c r="E11" s="61">
        <v>7.5</v>
      </c>
      <c r="F11" s="61">
        <v>7.3</v>
      </c>
      <c r="G11" s="61">
        <v>7.4</v>
      </c>
      <c r="H11" s="61">
        <v>8.1</v>
      </c>
      <c r="I11" s="67"/>
      <c r="J11" s="61">
        <v>30.3</v>
      </c>
      <c r="K11" s="67"/>
      <c r="L11" s="61">
        <v>7.6</v>
      </c>
      <c r="M11" s="61">
        <v>7.5090000000000003</v>
      </c>
      <c r="N11" s="61">
        <v>7.6509999999999998</v>
      </c>
      <c r="O11" s="61">
        <v>8.1150000000000002</v>
      </c>
      <c r="P11" s="67"/>
      <c r="Q11" s="61">
        <v>30.863</v>
      </c>
      <c r="R11" s="106"/>
      <c r="S11" s="61">
        <v>7.7640000000000002</v>
      </c>
      <c r="T11" s="61">
        <v>7.7190000000000003</v>
      </c>
      <c r="U11" s="61">
        <v>7.8330000000000002</v>
      </c>
      <c r="V11" s="61">
        <v>6.46</v>
      </c>
      <c r="W11" s="106"/>
      <c r="X11" s="61">
        <f t="shared" si="0"/>
        <v>29.776000000000003</v>
      </c>
      <c r="Y11" s="106"/>
      <c r="Z11" s="106"/>
      <c r="AA11" s="106"/>
      <c r="AB11" s="106"/>
      <c r="AC11" s="106"/>
      <c r="AD11" s="106"/>
      <c r="AE11" s="106"/>
      <c r="AF11" s="106"/>
      <c r="AG11" s="106"/>
      <c r="AH11" s="106"/>
      <c r="AI11" s="106"/>
    </row>
    <row r="12" spans="1:37" s="47" customFormat="1" ht="16.5" x14ac:dyDescent="0.25">
      <c r="A12" s="58" t="s">
        <v>7</v>
      </c>
      <c r="B12" s="121">
        <f>+-('CES Operating Expenses'!B13+'CES Operating Expenses'!B29)+'CES Gross Profit'!B19</f>
        <v>45.167000000000002</v>
      </c>
      <c r="C12" s="121">
        <f>+-('CES Operating Expenses'!C13+'CES Operating Expenses'!C29)+'CES Gross Profit'!C19</f>
        <v>46.829000000000001</v>
      </c>
      <c r="D12" s="60"/>
      <c r="E12" s="121">
        <f>+-('CES Operating Expenses'!E13+'CES Operating Expenses'!E29)+'CES Gross Profit'!E19+0.1</f>
        <v>10.952</v>
      </c>
      <c r="F12" s="121">
        <f>+-('CES Operating Expenses'!F13+'CES Operating Expenses'!F29)+'CES Gross Profit'!F19</f>
        <v>11.780999999999999</v>
      </c>
      <c r="G12" s="121">
        <f>+-('CES Operating Expenses'!G13+'CES Operating Expenses'!G29)+'CES Gross Profit'!G19</f>
        <v>11.089</v>
      </c>
      <c r="H12" s="121">
        <f>+-('CES Operating Expenses'!H13+'CES Operating Expenses'!H29)+'CES Gross Profit'!H19</f>
        <v>10.62</v>
      </c>
      <c r="I12" s="60"/>
      <c r="J12" s="121">
        <f>+-('CES Operating Expenses'!J13+'CES Operating Expenses'!J29)+'CES Gross Profit'!J19</f>
        <v>44.186</v>
      </c>
      <c r="K12" s="60"/>
      <c r="L12" s="121">
        <f>+-('CES Operating Expenses'!L13+'CES Operating Expenses'!L29)+'CES Gross Profit'!L19</f>
        <v>11.347</v>
      </c>
      <c r="M12" s="121">
        <f>+-('CES Operating Expenses'!M13+'CES Operating Expenses'!M29)+'CES Gross Profit'!M19</f>
        <v>13.673</v>
      </c>
      <c r="N12" s="121">
        <v>12.311999999999999</v>
      </c>
      <c r="O12" s="121">
        <v>17.626000000000001</v>
      </c>
      <c r="P12" s="60"/>
      <c r="Q12" s="121">
        <v>54.901000000000003</v>
      </c>
      <c r="S12" s="121">
        <v>9.3919999999999995</v>
      </c>
      <c r="T12" s="121">
        <v>11.587</v>
      </c>
      <c r="U12" s="121">
        <v>13.363</v>
      </c>
      <c r="V12" s="121">
        <v>6.6779999999999999</v>
      </c>
      <c r="X12" s="121">
        <f t="shared" si="0"/>
        <v>41.019999999999996</v>
      </c>
    </row>
    <row r="13" spans="1:37" s="47" customFormat="1" ht="16.5" x14ac:dyDescent="0.25">
      <c r="A13" s="58" t="s">
        <v>96</v>
      </c>
      <c r="B13" s="121">
        <f>+-('CES Operating Expenses'!B14+'CES Operating Expenses'!B30)+'CES Gross Profit'!B20</f>
        <v>8.6070000000000011</v>
      </c>
      <c r="C13" s="121">
        <f>+-('CES Operating Expenses'!C14+'CES Operating Expenses'!C30)+'CES Gross Profit'!C20</f>
        <v>1.1000000000000001</v>
      </c>
      <c r="D13" s="60"/>
      <c r="E13" s="121">
        <f>+-('CES Operating Expenses'!E14+'CES Operating Expenses'!E30)+'CES Gross Profit'!E20</f>
        <v>1.5</v>
      </c>
      <c r="F13" s="121">
        <f>+-('CES Operating Expenses'!F14+'CES Operating Expenses'!F30)+'CES Gross Profit'!F20</f>
        <v>0.1</v>
      </c>
      <c r="G13" s="121">
        <v>1.2</v>
      </c>
      <c r="H13" s="121">
        <f>+-('CES Operating Expenses'!H14+'CES Operating Expenses'!H30)+'CES Gross Profit'!H20</f>
        <v>3.6210000000000004</v>
      </c>
      <c r="I13" s="60"/>
      <c r="J13" s="121">
        <f>+-('CES Operating Expenses'!J14+'CES Operating Expenses'!J30)+'CES Gross Profit'!J20</f>
        <v>6.5129999999999999</v>
      </c>
      <c r="K13" s="60"/>
      <c r="L13" s="121">
        <f>+-('CES Operating Expenses'!L14+'CES Operating Expenses'!L30)+'CES Gross Profit'!L20</f>
        <v>2.5</v>
      </c>
      <c r="M13" s="121">
        <f>+-('CES Operating Expenses'!M14+'CES Operating Expenses'!M30)+'CES Gross Profit'!M20</f>
        <v>1.635</v>
      </c>
      <c r="N13" s="121">
        <f>+-('CES Operating Expenses'!N14+'CES Operating Expenses'!N30)+'CES Gross Profit'!N20</f>
        <v>1.4339999999999999</v>
      </c>
      <c r="O13" s="121">
        <f>+-('CES Operating Expenses'!O14+'CES Operating Expenses'!O30)+'CES Gross Profit'!O20</f>
        <v>1.538</v>
      </c>
      <c r="P13" s="60"/>
      <c r="Q13" s="121">
        <f>+-('CES Operating Expenses'!Q14+'CES Operating Expenses'!Q30)+'CES Gross Profit'!Q20</f>
        <v>7.1300000000000008</v>
      </c>
      <c r="S13" s="121">
        <f>+-('CES Operating Expenses'!S14+'CES Operating Expenses'!S30)+'CES Gross Profit'!S20</f>
        <v>-2.1679999999999997</v>
      </c>
      <c r="T13" s="121">
        <f>+-('CES Operating Expenses'!T14+'CES Operating Expenses'!T30)+'CES Gross Profit'!T20</f>
        <v>1.7080000000000002</v>
      </c>
      <c r="U13" s="121">
        <f>+-('CES Operating Expenses'!U14+'CES Operating Expenses'!U30)+'CES Gross Profit'!U20</f>
        <v>-0.82200000000000006</v>
      </c>
      <c r="V13" s="121">
        <f>+-('CES Operating Expenses'!V14+'CES Operating Expenses'!V30)+'CES Gross Profit'!V20</f>
        <v>2.661</v>
      </c>
      <c r="X13" s="121">
        <f t="shared" si="0"/>
        <v>1.3790000000000004</v>
      </c>
    </row>
    <row r="14" spans="1:37" s="47" customFormat="1" ht="16.5" x14ac:dyDescent="0.25">
      <c r="A14" s="58" t="s">
        <v>19</v>
      </c>
      <c r="B14" s="121">
        <f>+-('CES Operating Expenses'!B15+'CES Operating Expenses'!B31)+'CES Gross Profit'!B21</f>
        <v>10.516999999999999</v>
      </c>
      <c r="C14" s="121">
        <f>+-('CES Operating Expenses'!C15+'CES Operating Expenses'!C31)+'CES Gross Profit'!C21</f>
        <v>8.8999999999999986</v>
      </c>
      <c r="D14" s="60"/>
      <c r="E14" s="121">
        <f>+-('CES Operating Expenses'!E15+'CES Operating Expenses'!E31)+'CES Gross Profit'!E21</f>
        <v>0.7</v>
      </c>
      <c r="F14" s="121">
        <f>+-('CES Operating Expenses'!F15+'CES Operating Expenses'!F31)+'CES Gross Profit'!F21</f>
        <v>0.5</v>
      </c>
      <c r="G14" s="121">
        <f>+-('CES Operating Expenses'!G15+'CES Operating Expenses'!G31)+'CES Gross Profit'!G21-0.06</f>
        <v>0.71</v>
      </c>
      <c r="H14" s="121">
        <f>+-('CES Operating Expenses'!H15+'CES Operating Expenses'!H31)+'CES Gross Profit'!H21</f>
        <v>1.238</v>
      </c>
      <c r="I14" s="60"/>
      <c r="J14" s="121">
        <f>+-('CES Operating Expenses'!J15+'CES Operating Expenses'!J31)+'CES Gross Profit'!J21</f>
        <v>3.2309999999999999</v>
      </c>
      <c r="K14" s="60"/>
      <c r="L14" s="121">
        <f>+-('CES Operating Expenses'!L15+'CES Operating Expenses'!L31)+'CES Gross Profit'!L21</f>
        <v>0.89999999999999991</v>
      </c>
      <c r="M14" s="121">
        <f>+-('CES Operating Expenses'!M15+'CES Operating Expenses'!M31)+'CES Gross Profit'!M21-0.1</f>
        <v>0.98099999999999998</v>
      </c>
      <c r="N14" s="121">
        <v>1.351</v>
      </c>
      <c r="O14" s="121">
        <v>0.92700000000000005</v>
      </c>
      <c r="P14" s="60"/>
      <c r="Q14" s="121">
        <v>4.2830000000000004</v>
      </c>
      <c r="S14" s="121">
        <v>3.585</v>
      </c>
      <c r="T14" s="121">
        <v>0.59099999999999997</v>
      </c>
      <c r="U14" s="121">
        <v>0.82299999999999995</v>
      </c>
      <c r="V14" s="121">
        <v>3.024</v>
      </c>
      <c r="X14" s="121">
        <f t="shared" si="0"/>
        <v>8.0229999999999997</v>
      </c>
    </row>
    <row r="15" spans="1:37" s="47" customFormat="1" ht="16.5" x14ac:dyDescent="0.25">
      <c r="A15" s="58" t="s">
        <v>317</v>
      </c>
      <c r="B15" s="121">
        <f>-+'CES Operating Expenses'!B32</f>
        <v>0.38800000000000001</v>
      </c>
      <c r="C15" s="121">
        <f>-+'CES Operating Expenses'!C32</f>
        <v>0.84599999999999997</v>
      </c>
      <c r="D15" s="60"/>
      <c r="E15" s="121">
        <f>-+'CES Operating Expenses'!E32</f>
        <v>6.3E-2</v>
      </c>
      <c r="F15" s="121">
        <f>-+'CES Operating Expenses'!F32</f>
        <v>9.7000000000000003E-2</v>
      </c>
      <c r="G15" s="121">
        <f>-+'CES Operating Expenses'!G32</f>
        <v>2.8000000000000001E-2</v>
      </c>
      <c r="H15" s="121">
        <f>-+'CES Operating Expenses'!H32</f>
        <v>1.6E-2</v>
      </c>
      <c r="I15" s="60"/>
      <c r="J15" s="121">
        <f>-+'CES Operating Expenses'!J32</f>
        <v>0.20200000000000001</v>
      </c>
      <c r="K15" s="60"/>
      <c r="L15" s="121">
        <f>-+'CES Operating Expenses'!L32</f>
        <v>2E-3</v>
      </c>
      <c r="M15" s="121">
        <f>-+'CES Operating Expenses'!M32</f>
        <v>0.14499999999999999</v>
      </c>
      <c r="N15" s="121">
        <f>-+'CES Operating Expenses'!N32</f>
        <v>0.96399999999999997</v>
      </c>
      <c r="O15" s="121">
        <f>-+'CES Operating Expenses'!O32</f>
        <v>2.3359999999999999</v>
      </c>
      <c r="P15" s="60"/>
      <c r="Q15" s="121">
        <f>-+'CES Operating Expenses'!Q32</f>
        <v>3.448</v>
      </c>
      <c r="S15" s="121">
        <f>-+'CES Operating Expenses'!S32</f>
        <v>5.085</v>
      </c>
      <c r="T15" s="121">
        <f>-+'CES Operating Expenses'!T32</f>
        <v>4.1509999999999998</v>
      </c>
      <c r="U15" s="121">
        <f>-+'CES Operating Expenses'!U32-'CES Operating Expenses'!U16+'CES Gross Profit'!U22</f>
        <v>8.9920000000000009</v>
      </c>
      <c r="V15" s="121">
        <f>-+'CES Operating Expenses'!V32-'CES Operating Expenses'!V16+'CES Gross Profit'!V22</f>
        <v>12.972</v>
      </c>
      <c r="X15" s="121">
        <f t="shared" si="0"/>
        <v>31.200000000000003</v>
      </c>
    </row>
    <row r="16" spans="1:37" s="47" customFormat="1" ht="16.5" x14ac:dyDescent="0.25">
      <c r="A16" s="58" t="s">
        <v>20</v>
      </c>
      <c r="B16" s="121">
        <f>-+'CES Operating Expenses'!B33</f>
        <v>0</v>
      </c>
      <c r="C16" s="121">
        <f>-+'CES Operating Expenses'!C33</f>
        <v>2.2000000000000002</v>
      </c>
      <c r="D16" s="60"/>
      <c r="E16" s="121">
        <v>0</v>
      </c>
      <c r="F16" s="121">
        <v>0</v>
      </c>
      <c r="G16" s="121">
        <v>0</v>
      </c>
      <c r="H16" s="121">
        <v>0</v>
      </c>
      <c r="I16" s="60"/>
      <c r="J16" s="121">
        <v>0</v>
      </c>
      <c r="K16" s="60"/>
      <c r="L16" s="121">
        <v>0</v>
      </c>
      <c r="M16" s="121">
        <v>0</v>
      </c>
      <c r="N16" s="121">
        <v>0</v>
      </c>
      <c r="O16" s="121">
        <v>0</v>
      </c>
      <c r="P16" s="60"/>
      <c r="Q16" s="121">
        <v>0</v>
      </c>
      <c r="S16" s="121">
        <v>0</v>
      </c>
      <c r="T16" s="121">
        <v>0</v>
      </c>
      <c r="U16" s="121">
        <v>9.5000000000000001E-2</v>
      </c>
      <c r="V16" s="121">
        <v>0.23300000000000001</v>
      </c>
      <c r="X16" s="121">
        <f t="shared" si="0"/>
        <v>0.32800000000000001</v>
      </c>
    </row>
    <row r="17" spans="1:24" s="47" customFormat="1" ht="16.5" x14ac:dyDescent="0.25">
      <c r="A17" s="58" t="s">
        <v>6</v>
      </c>
      <c r="B17" s="124">
        <f>-+'CES Operating Expenses'!B34</f>
        <v>0.25900000000000001</v>
      </c>
      <c r="C17" s="124">
        <f>-+'CES Operating Expenses'!C34</f>
        <v>0.45400000000000007</v>
      </c>
      <c r="D17" s="67"/>
      <c r="E17" s="124">
        <f>-+'CES Operating Expenses'!E34</f>
        <v>0.33700000000000002</v>
      </c>
      <c r="F17" s="124">
        <f>-+'CES Operating Expenses'!F34</f>
        <v>0.30300000000000005</v>
      </c>
      <c r="G17" s="124">
        <f>-+'CES Operating Expenses'!G34</f>
        <v>-1.0109999999999999</v>
      </c>
      <c r="H17" s="124">
        <f>-+'CES Operating Expenses'!H34</f>
        <v>-0.247</v>
      </c>
      <c r="I17" s="67"/>
      <c r="J17" s="124">
        <f>-+'CES Operating Expenses'!J34</f>
        <v>-0.61499999999999999</v>
      </c>
      <c r="K17" s="67"/>
      <c r="L17" s="124">
        <f>-+'CES Operating Expenses'!L34</f>
        <v>1.298</v>
      </c>
      <c r="M17" s="124">
        <f>-+'CES Operating Expenses'!M34</f>
        <v>3.5920000000000001</v>
      </c>
      <c r="N17" s="124">
        <f>-+'CES Operating Expenses'!N34</f>
        <v>0.22900000000000009</v>
      </c>
      <c r="O17" s="124">
        <f>-+'CES Operating Expenses'!O34</f>
        <v>1.4490000000000001</v>
      </c>
      <c r="P17" s="67"/>
      <c r="Q17" s="124">
        <f>-+'CES Operating Expenses'!Q34</f>
        <v>6.609</v>
      </c>
      <c r="S17" s="124">
        <f>-+'CES Operating Expenses'!S34</f>
        <v>6.0999999999999999E-2</v>
      </c>
      <c r="T17" s="124">
        <f>-+'CES Operating Expenses'!T34+-'CES Operating Expenses'!T17</f>
        <v>-0.79299999999999993</v>
      </c>
      <c r="U17" s="124">
        <f>-+'CES Operating Expenses'!U34+-'CES Operating Expenses'!U17</f>
        <v>-4.4999999999999998E-2</v>
      </c>
      <c r="V17" s="124">
        <f>-+'CES Operating Expenses'!V34+-'CES Operating Expenses'!V17</f>
        <v>0.29100000000000004</v>
      </c>
      <c r="X17" s="124">
        <f t="shared" si="0"/>
        <v>-0.48599999999999999</v>
      </c>
    </row>
    <row r="18" spans="1:24" s="47" customFormat="1" ht="33" x14ac:dyDescent="0.25">
      <c r="A18" s="114" t="s">
        <v>228</v>
      </c>
      <c r="B18" s="68">
        <f>SUM(B9:B17)+B6</f>
        <v>168.70299999999997</v>
      </c>
      <c r="C18" s="68">
        <f>SUM(C9:C17)+C6</f>
        <v>184.739</v>
      </c>
      <c r="D18" s="67"/>
      <c r="E18" s="68">
        <f>SUM(E9:E17)+E6</f>
        <v>39.317</v>
      </c>
      <c r="F18" s="68">
        <f>SUM(F9:F17)+F6</f>
        <v>52.585000000000001</v>
      </c>
      <c r="G18" s="68">
        <f>SUM(G9:G17)+G6</f>
        <v>53.588300000000004</v>
      </c>
      <c r="H18" s="68">
        <f>SUM(H9:H17)+H6</f>
        <v>63.991</v>
      </c>
      <c r="I18" s="67"/>
      <c r="J18" s="68">
        <f>SUM(J9:J17)+J6</f>
        <v>209.90199999999999</v>
      </c>
      <c r="K18" s="67"/>
      <c r="L18" s="68">
        <f>SUM(L9:L17)+L6</f>
        <v>50.234999999999999</v>
      </c>
      <c r="M18" s="68">
        <f>SUM(M9:M17)+M6</f>
        <v>49.772999999999996</v>
      </c>
      <c r="N18" s="68">
        <f>SUM(N9:N17)+N6</f>
        <v>62.217999999999989</v>
      </c>
      <c r="O18" s="68">
        <f>SUM(O9:O17)+O6</f>
        <v>60.218999999999994</v>
      </c>
      <c r="P18" s="67"/>
      <c r="Q18" s="68">
        <f>SUM(Q9:Q17)+Q6</f>
        <v>222.49099999999999</v>
      </c>
      <c r="S18" s="68">
        <f>SUM(S9:S17)+S6</f>
        <v>37.452000000000012</v>
      </c>
      <c r="T18" s="96">
        <f>SUM(T9:T17)+T6</f>
        <v>63.605000000000011</v>
      </c>
      <c r="U18" s="96">
        <f>SUM(U9:U17)+U6</f>
        <v>63.393000000000001</v>
      </c>
      <c r="V18" s="96">
        <f>SUM(V9:V17)+V6</f>
        <v>57.055</v>
      </c>
      <c r="X18" s="96">
        <f>SUM(X9:X17)+X6</f>
        <v>221.50500000000005</v>
      </c>
    </row>
    <row r="19" spans="1:24" s="47" customFormat="1" ht="16.5" x14ac:dyDescent="0.25">
      <c r="A19" s="58" t="s">
        <v>132</v>
      </c>
      <c r="B19" s="104">
        <v>19.265999999999998</v>
      </c>
      <c r="C19" s="104">
        <v>20</v>
      </c>
      <c r="D19" s="60"/>
      <c r="E19" s="124">
        <v>5.4</v>
      </c>
      <c r="F19" s="104">
        <v>4.8</v>
      </c>
      <c r="G19" s="104">
        <v>4.7</v>
      </c>
      <c r="H19" s="104">
        <v>4.7</v>
      </c>
      <c r="I19" s="60"/>
      <c r="J19" s="104">
        <v>19.399999999999999</v>
      </c>
      <c r="K19" s="60"/>
      <c r="L19" s="104">
        <v>5.0999999999999996</v>
      </c>
      <c r="M19" s="104">
        <v>5.0999999999999996</v>
      </c>
      <c r="N19" s="104">
        <v>5.6550000000000002</v>
      </c>
      <c r="O19" s="104">
        <v>5.8029999999999999</v>
      </c>
      <c r="P19" s="60"/>
      <c r="Q19" s="104">
        <v>21.736999999999998</v>
      </c>
      <c r="S19" s="104">
        <v>6.9050000000000002</v>
      </c>
      <c r="T19" s="104">
        <v>6.9530000000000003</v>
      </c>
      <c r="U19" s="104">
        <v>6.71</v>
      </c>
      <c r="V19" s="104">
        <v>6.6859999999999999</v>
      </c>
      <c r="X19" s="104">
        <f>+S19+T19+U19+V19</f>
        <v>27.254000000000001</v>
      </c>
    </row>
    <row r="20" spans="1:24" s="90" customFormat="1" ht="16.5" x14ac:dyDescent="0.25">
      <c r="A20" s="125" t="s">
        <v>37</v>
      </c>
      <c r="B20" s="126">
        <f>+B18+B19</f>
        <v>187.96899999999997</v>
      </c>
      <c r="C20" s="126">
        <f>+C18+C19</f>
        <v>204.739</v>
      </c>
      <c r="D20" s="60"/>
      <c r="E20" s="126">
        <f>+E18+E19</f>
        <v>44.716999999999999</v>
      </c>
      <c r="F20" s="88">
        <f>+F18+F19</f>
        <v>57.384999999999998</v>
      </c>
      <c r="G20" s="88">
        <f>+G18+G19</f>
        <v>58.288300000000007</v>
      </c>
      <c r="H20" s="88">
        <f>+H18+H19</f>
        <v>68.691000000000003</v>
      </c>
      <c r="I20" s="60"/>
      <c r="J20" s="88">
        <f>+J18+J19</f>
        <v>229.30199999999999</v>
      </c>
      <c r="K20" s="60"/>
      <c r="L20" s="88">
        <f>+L18+L19</f>
        <v>55.335000000000001</v>
      </c>
      <c r="M20" s="88">
        <f>+M18+M19</f>
        <v>54.872999999999998</v>
      </c>
      <c r="N20" s="88">
        <f>+N18+N19</f>
        <v>67.87299999999999</v>
      </c>
      <c r="O20" s="88">
        <f>+O18+O19</f>
        <v>66.021999999999991</v>
      </c>
      <c r="P20" s="60"/>
      <c r="Q20" s="88">
        <f>+Q18+Q19</f>
        <v>244.22799999999998</v>
      </c>
      <c r="S20" s="88">
        <f>+S18+S19</f>
        <v>44.357000000000014</v>
      </c>
      <c r="T20" s="88">
        <f>+T18+T19</f>
        <v>70.558000000000007</v>
      </c>
      <c r="U20" s="88">
        <f>+U18+U19</f>
        <v>70.102999999999994</v>
      </c>
      <c r="V20" s="88">
        <f>+V18+V19</f>
        <v>63.741</v>
      </c>
      <c r="X20" s="88">
        <f>+X18+X19</f>
        <v>248.75900000000004</v>
      </c>
    </row>
    <row r="21" spans="1:24" s="47" customFormat="1" ht="33" x14ac:dyDescent="0.25">
      <c r="A21" s="114" t="s">
        <v>229</v>
      </c>
      <c r="B21" s="128">
        <v>0.23599999999999999</v>
      </c>
      <c r="C21" s="128">
        <v>0.245</v>
      </c>
      <c r="D21" s="60"/>
      <c r="E21" s="130">
        <v>0.20771670190274841</v>
      </c>
      <c r="F21" s="130">
        <v>0.25911330049261083</v>
      </c>
      <c r="G21" s="130">
        <v>0.26600496277915631</v>
      </c>
      <c r="H21" s="130">
        <v>0.29338842975206608</v>
      </c>
      <c r="I21" s="60"/>
      <c r="J21" s="130">
        <v>0.2587205719216073</v>
      </c>
      <c r="K21" s="60"/>
      <c r="L21" s="130">
        <v>0.23251505326540062</v>
      </c>
      <c r="M21" s="130">
        <v>0.22802197802197802</v>
      </c>
      <c r="N21" s="130">
        <v>0.27800000000000002</v>
      </c>
      <c r="O21" s="130">
        <v>0.28000000000000003</v>
      </c>
      <c r="P21" s="60"/>
      <c r="Q21" s="130">
        <v>0.255</v>
      </c>
      <c r="S21" s="130">
        <v>0.19800000000000001</v>
      </c>
      <c r="T21" s="130">
        <v>0.307</v>
      </c>
      <c r="U21" s="130">
        <v>0.29199999999999998</v>
      </c>
      <c r="V21" s="130">
        <v>0.251</v>
      </c>
      <c r="X21" s="130">
        <v>0.26400000000000001</v>
      </c>
    </row>
    <row r="22" spans="1:24" s="47" customFormat="1" ht="16.5" x14ac:dyDescent="0.25">
      <c r="A22" s="114" t="s">
        <v>97</v>
      </c>
      <c r="B22" s="128">
        <v>0.26200000000000001</v>
      </c>
      <c r="C22" s="128">
        <v>0.27100000000000002</v>
      </c>
      <c r="D22" s="60"/>
      <c r="E22" s="130">
        <v>0.23625792811839322</v>
      </c>
      <c r="F22" s="130">
        <v>0.28275862068965513</v>
      </c>
      <c r="G22" s="130">
        <v>0.28933002481389575</v>
      </c>
      <c r="H22" s="130">
        <v>0.31496786042240582</v>
      </c>
      <c r="I22" s="60"/>
      <c r="J22" s="130">
        <v>0.28263281153703934</v>
      </c>
      <c r="K22" s="60"/>
      <c r="L22" s="130">
        <v>0.25613710050949512</v>
      </c>
      <c r="M22" s="130">
        <v>0.25237362637362637</v>
      </c>
      <c r="N22" s="130">
        <v>0.30299999999999999</v>
      </c>
      <c r="O22" s="130">
        <v>0.307</v>
      </c>
      <c r="P22" s="60"/>
      <c r="Q22" s="130">
        <v>0.28000000000000003</v>
      </c>
      <c r="S22" s="130">
        <v>0.23499999999999999</v>
      </c>
      <c r="T22" s="130">
        <v>0.34100000000000003</v>
      </c>
      <c r="U22" s="130">
        <v>0.32200000000000001</v>
      </c>
      <c r="V22" s="130">
        <v>0.28100000000000003</v>
      </c>
      <c r="X22" s="130">
        <v>0.29599999999999999</v>
      </c>
    </row>
    <row r="23" spans="1:24" s="47" customFormat="1" ht="16.5" x14ac:dyDescent="0.25">
      <c r="A23" s="114"/>
      <c r="B23" s="114"/>
      <c r="C23" s="68"/>
      <c r="D23" s="67"/>
      <c r="E23" s="68"/>
      <c r="F23" s="68"/>
      <c r="G23" s="68"/>
      <c r="H23" s="68"/>
      <c r="I23" s="67"/>
      <c r="J23" s="68"/>
      <c r="K23" s="67"/>
      <c r="L23" s="68"/>
      <c r="M23" s="68"/>
      <c r="N23" s="68"/>
      <c r="O23" s="68"/>
      <c r="P23" s="67"/>
      <c r="Q23" s="68"/>
      <c r="S23" s="68"/>
      <c r="T23" s="68"/>
      <c r="U23" s="68"/>
      <c r="V23" s="68"/>
      <c r="X23" s="68"/>
    </row>
    <row r="24" spans="1:24" ht="16.5" x14ac:dyDescent="0.25">
      <c r="A24" s="8"/>
      <c r="B24" s="8"/>
      <c r="D24" s="47"/>
      <c r="F24" s="8" t="s">
        <v>11</v>
      </c>
      <c r="I24" s="47"/>
      <c r="K24" s="47"/>
      <c r="P24" s="47"/>
    </row>
    <row r="25" spans="1:24" ht="16.5" x14ac:dyDescent="0.25">
      <c r="A25" s="3"/>
      <c r="B25" s="3"/>
      <c r="D25" s="47"/>
      <c r="I25" s="47"/>
      <c r="K25" s="47"/>
      <c r="P25" s="47"/>
    </row>
    <row r="26" spans="1:24" ht="16.5" x14ac:dyDescent="0.25">
      <c r="A26" s="3"/>
      <c r="B26" s="3"/>
      <c r="D26" s="47"/>
      <c r="I26" s="47"/>
      <c r="K26" s="47"/>
      <c r="P26" s="47"/>
    </row>
    <row r="27" spans="1:24" ht="16.5" x14ac:dyDescent="0.25">
      <c r="A27" s="3"/>
      <c r="B27" s="3"/>
      <c r="D27" s="52"/>
      <c r="I27" s="52"/>
      <c r="K27" s="52"/>
      <c r="P27" s="52"/>
    </row>
    <row r="28" spans="1:24" ht="16.5" x14ac:dyDescent="0.25">
      <c r="A28" s="3"/>
      <c r="B28" s="3"/>
      <c r="D28" s="52"/>
      <c r="F28" s="8" t="s">
        <v>11</v>
      </c>
      <c r="I28" s="52"/>
      <c r="K28" s="52"/>
      <c r="P28" s="52"/>
    </row>
    <row r="29" spans="1:24" ht="16.5" x14ac:dyDescent="0.25">
      <c r="A29" s="3"/>
      <c r="B29" s="3"/>
      <c r="D29" s="52"/>
      <c r="I29" s="52"/>
      <c r="K29" s="52"/>
      <c r="P29" s="52"/>
    </row>
    <row r="30" spans="1:24" ht="16.5" x14ac:dyDescent="0.25">
      <c r="A30" s="3"/>
      <c r="B30" s="3"/>
      <c r="D30" s="52"/>
      <c r="I30" s="52"/>
      <c r="K30" s="52"/>
      <c r="P30" s="52"/>
    </row>
    <row r="31" spans="1:24" x14ac:dyDescent="0.2">
      <c r="A31" s="3"/>
      <c r="B31" s="3"/>
    </row>
    <row r="32" spans="1:24" x14ac:dyDescent="0.2">
      <c r="A32" s="3"/>
      <c r="B32" s="3"/>
    </row>
    <row r="33" spans="1:2" x14ac:dyDescent="0.2">
      <c r="A33" s="3"/>
      <c r="B33" s="3"/>
    </row>
    <row r="34" spans="1:2" x14ac:dyDescent="0.2">
      <c r="A34" s="3"/>
      <c r="B34" s="3"/>
    </row>
    <row r="35" spans="1:2" x14ac:dyDescent="0.2">
      <c r="A35" s="3"/>
      <c r="B35" s="3"/>
    </row>
    <row r="36" spans="1:2" x14ac:dyDescent="0.2">
      <c r="A36" s="3"/>
      <c r="B36" s="3"/>
    </row>
    <row r="37" spans="1:2" x14ac:dyDescent="0.2">
      <c r="A37" s="3"/>
      <c r="B37" s="3"/>
    </row>
    <row r="38" spans="1:2" x14ac:dyDescent="0.2">
      <c r="A38" s="3"/>
      <c r="B38" s="3"/>
    </row>
    <row r="39" spans="1:2" x14ac:dyDescent="0.2">
      <c r="A39" s="3"/>
      <c r="B39" s="3"/>
    </row>
    <row r="40" spans="1:2" x14ac:dyDescent="0.2">
      <c r="A40" s="3"/>
      <c r="B40" s="3"/>
    </row>
    <row r="41" spans="1:2" x14ac:dyDescent="0.2">
      <c r="A41" s="3"/>
      <c r="B41" s="3"/>
    </row>
    <row r="42" spans="1:2" x14ac:dyDescent="0.2">
      <c r="A42" s="3"/>
      <c r="B42" s="3"/>
    </row>
    <row r="43" spans="1:2" x14ac:dyDescent="0.2">
      <c r="A43" s="3"/>
      <c r="B43" s="3"/>
    </row>
    <row r="44" spans="1:2" x14ac:dyDescent="0.2">
      <c r="A44" s="3"/>
      <c r="B44" s="3"/>
    </row>
    <row r="45" spans="1:2" x14ac:dyDescent="0.2">
      <c r="A45" s="3"/>
      <c r="B45" s="3"/>
    </row>
    <row r="46" spans="1:2" x14ac:dyDescent="0.2">
      <c r="A46" s="3"/>
      <c r="B46" s="3"/>
    </row>
    <row r="47" spans="1:2" x14ac:dyDescent="0.2">
      <c r="A47" s="3"/>
      <c r="B47" s="3"/>
    </row>
    <row r="48" spans="1:2" x14ac:dyDescent="0.2">
      <c r="A48" s="3"/>
      <c r="B48" s="3"/>
    </row>
    <row r="49" spans="1:2" x14ac:dyDescent="0.2">
      <c r="A49" s="3"/>
      <c r="B49" s="3"/>
    </row>
    <row r="50" spans="1:2" x14ac:dyDescent="0.2">
      <c r="A50" s="3"/>
      <c r="B50" s="3"/>
    </row>
    <row r="51" spans="1:2" x14ac:dyDescent="0.2">
      <c r="A51" s="3"/>
      <c r="B51" s="3"/>
    </row>
    <row r="52" spans="1:2" x14ac:dyDescent="0.2">
      <c r="A52" s="3"/>
      <c r="B52" s="3"/>
    </row>
    <row r="53" spans="1:2" x14ac:dyDescent="0.2">
      <c r="A53" s="3"/>
      <c r="B53" s="3"/>
    </row>
    <row r="54" spans="1:2" x14ac:dyDescent="0.2">
      <c r="A54" s="3"/>
      <c r="B54" s="3"/>
    </row>
    <row r="55" spans="1:2" x14ac:dyDescent="0.2">
      <c r="A55" s="3"/>
      <c r="B55" s="3"/>
    </row>
    <row r="56" spans="1:2" x14ac:dyDescent="0.2">
      <c r="A56" s="3"/>
      <c r="B56" s="3"/>
    </row>
    <row r="57" spans="1:2" x14ac:dyDescent="0.2">
      <c r="A57" s="3"/>
      <c r="B57" s="3"/>
    </row>
    <row r="58" spans="1:2" x14ac:dyDescent="0.2">
      <c r="A58" s="3"/>
      <c r="B58" s="3"/>
    </row>
    <row r="59" spans="1:2" x14ac:dyDescent="0.2">
      <c r="A59" s="3"/>
      <c r="B59" s="3"/>
    </row>
    <row r="60" spans="1:2" x14ac:dyDescent="0.2">
      <c r="A60" s="3"/>
      <c r="B60" s="3"/>
    </row>
    <row r="61" spans="1:2" x14ac:dyDescent="0.2">
      <c r="A61" s="3"/>
      <c r="B61" s="3"/>
    </row>
    <row r="62" spans="1:2" x14ac:dyDescent="0.2">
      <c r="A62" s="3"/>
      <c r="B62" s="3"/>
    </row>
    <row r="63" spans="1:2" x14ac:dyDescent="0.2">
      <c r="A63" s="3"/>
      <c r="B63" s="3"/>
    </row>
    <row r="64" spans="1:2" x14ac:dyDescent="0.2">
      <c r="A64" s="3"/>
      <c r="B64" s="3"/>
    </row>
    <row r="65" spans="1:2" x14ac:dyDescent="0.2">
      <c r="A65" s="3"/>
      <c r="B65" s="3"/>
    </row>
    <row r="66" spans="1:2" x14ac:dyDescent="0.2">
      <c r="A66" s="3"/>
      <c r="B66" s="3"/>
    </row>
    <row r="67" spans="1:2" x14ac:dyDescent="0.2">
      <c r="A67" s="3"/>
      <c r="B67" s="3"/>
    </row>
    <row r="68" spans="1:2" x14ac:dyDescent="0.2">
      <c r="A68" s="3"/>
      <c r="B68" s="3"/>
    </row>
    <row r="69" spans="1:2" x14ac:dyDescent="0.2">
      <c r="A69" s="3"/>
      <c r="B69" s="3"/>
    </row>
    <row r="70" spans="1:2" x14ac:dyDescent="0.2">
      <c r="A70" s="3"/>
      <c r="B70" s="3"/>
    </row>
    <row r="71" spans="1:2" x14ac:dyDescent="0.2">
      <c r="A71" s="3"/>
      <c r="B71" s="3"/>
    </row>
    <row r="72" spans="1:2" x14ac:dyDescent="0.2">
      <c r="A72" s="3"/>
      <c r="B72" s="3"/>
    </row>
    <row r="73" spans="1:2" x14ac:dyDescent="0.2">
      <c r="A73" s="3"/>
      <c r="B73" s="3"/>
    </row>
    <row r="74" spans="1:2" x14ac:dyDescent="0.2">
      <c r="A74" s="3"/>
      <c r="B74" s="3"/>
    </row>
    <row r="75" spans="1:2" x14ac:dyDescent="0.2">
      <c r="A75" s="3"/>
      <c r="B75" s="3"/>
    </row>
    <row r="76" spans="1:2" x14ac:dyDescent="0.2">
      <c r="A76" s="3"/>
      <c r="B76" s="3"/>
    </row>
    <row r="77" spans="1:2" x14ac:dyDescent="0.2">
      <c r="A77" s="3"/>
      <c r="B77" s="3"/>
    </row>
    <row r="78" spans="1:2" x14ac:dyDescent="0.2">
      <c r="A78" s="3"/>
      <c r="B78" s="3"/>
    </row>
    <row r="79" spans="1:2" x14ac:dyDescent="0.2">
      <c r="A79" s="3"/>
      <c r="B79" s="3"/>
    </row>
    <row r="80" spans="1:2" x14ac:dyDescent="0.2">
      <c r="A80" s="3"/>
      <c r="B80" s="3"/>
    </row>
    <row r="81" spans="1:2" x14ac:dyDescent="0.2">
      <c r="A81" s="3"/>
      <c r="B81" s="3"/>
    </row>
    <row r="82" spans="1:2" x14ac:dyDescent="0.2">
      <c r="A82" s="3"/>
      <c r="B82" s="3"/>
    </row>
    <row r="83" spans="1:2" x14ac:dyDescent="0.2">
      <c r="A83" s="3"/>
      <c r="B83" s="3"/>
    </row>
    <row r="84" spans="1:2" x14ac:dyDescent="0.2">
      <c r="A84" s="3"/>
      <c r="B84" s="3"/>
    </row>
    <row r="85" spans="1:2" x14ac:dyDescent="0.2">
      <c r="A85" s="3"/>
      <c r="B85" s="3"/>
    </row>
    <row r="86" spans="1:2" x14ac:dyDescent="0.2">
      <c r="A86" s="3"/>
      <c r="B86" s="3"/>
    </row>
    <row r="87" spans="1:2" x14ac:dyDescent="0.2">
      <c r="A87" s="3"/>
      <c r="B87" s="3"/>
    </row>
    <row r="88" spans="1:2" x14ac:dyDescent="0.2">
      <c r="A88" s="3"/>
      <c r="B88" s="3"/>
    </row>
    <row r="89" spans="1:2" x14ac:dyDescent="0.2">
      <c r="A89" s="3"/>
      <c r="B89" s="3"/>
    </row>
    <row r="90" spans="1:2" x14ac:dyDescent="0.2">
      <c r="A90" s="3"/>
      <c r="B90" s="3"/>
    </row>
    <row r="91" spans="1:2" x14ac:dyDescent="0.2">
      <c r="A91" s="3"/>
      <c r="B91" s="3"/>
    </row>
    <row r="92" spans="1:2" x14ac:dyDescent="0.2">
      <c r="A92" s="3"/>
      <c r="B92" s="3"/>
    </row>
    <row r="93" spans="1:2" x14ac:dyDescent="0.2">
      <c r="A93" s="3"/>
      <c r="B93" s="3"/>
    </row>
    <row r="94" spans="1:2" x14ac:dyDescent="0.2">
      <c r="A94" s="3"/>
      <c r="B94" s="3"/>
    </row>
    <row r="95" spans="1:2" x14ac:dyDescent="0.2">
      <c r="A95" s="3"/>
      <c r="B95" s="3"/>
    </row>
    <row r="96" spans="1:2" x14ac:dyDescent="0.2">
      <c r="A96" s="3"/>
      <c r="B96" s="3"/>
    </row>
    <row r="97" spans="1:2" x14ac:dyDescent="0.2">
      <c r="A97" s="3"/>
      <c r="B97" s="3"/>
    </row>
    <row r="98" spans="1:2" x14ac:dyDescent="0.2">
      <c r="A98" s="3"/>
      <c r="B98" s="3"/>
    </row>
    <row r="99" spans="1:2" x14ac:dyDescent="0.2">
      <c r="A99" s="3"/>
      <c r="B99" s="3"/>
    </row>
    <row r="100" spans="1:2" x14ac:dyDescent="0.2">
      <c r="A100" s="3"/>
      <c r="B100" s="3"/>
    </row>
    <row r="101" spans="1:2" x14ac:dyDescent="0.2">
      <c r="A101" s="3"/>
      <c r="B101" s="3"/>
    </row>
    <row r="102" spans="1:2" x14ac:dyDescent="0.2">
      <c r="A102" s="3"/>
      <c r="B102" s="3"/>
    </row>
    <row r="103" spans="1:2" x14ac:dyDescent="0.2">
      <c r="A103" s="3"/>
      <c r="B103" s="3"/>
    </row>
    <row r="104" spans="1:2" x14ac:dyDescent="0.2">
      <c r="A104" s="3"/>
      <c r="B104" s="3"/>
    </row>
    <row r="105" spans="1:2" x14ac:dyDescent="0.2">
      <c r="A105" s="3"/>
      <c r="B105" s="3"/>
    </row>
    <row r="106" spans="1:2" x14ac:dyDescent="0.2">
      <c r="A106" s="3"/>
      <c r="B106" s="3"/>
    </row>
    <row r="107" spans="1:2" x14ac:dyDescent="0.2">
      <c r="A107" s="3"/>
      <c r="B107" s="3"/>
    </row>
    <row r="108" spans="1:2" x14ac:dyDescent="0.2">
      <c r="A108" s="3"/>
      <c r="B108" s="3"/>
    </row>
    <row r="109" spans="1:2" x14ac:dyDescent="0.2">
      <c r="A109" s="3"/>
      <c r="B109" s="3"/>
    </row>
    <row r="110" spans="1:2" x14ac:dyDescent="0.2">
      <c r="A110" s="3"/>
      <c r="B110" s="3"/>
    </row>
    <row r="111" spans="1:2" x14ac:dyDescent="0.2">
      <c r="A111" s="3"/>
      <c r="B111" s="3"/>
    </row>
    <row r="112" spans="1:2" x14ac:dyDescent="0.2">
      <c r="A112" s="3"/>
      <c r="B112" s="3"/>
    </row>
    <row r="113" spans="1:2" x14ac:dyDescent="0.2">
      <c r="A113" s="3"/>
      <c r="B113" s="3"/>
    </row>
    <row r="114" spans="1:2" x14ac:dyDescent="0.2">
      <c r="A114" s="3"/>
      <c r="B114" s="3"/>
    </row>
    <row r="115" spans="1:2" x14ac:dyDescent="0.2">
      <c r="A115" s="3"/>
      <c r="B115" s="3"/>
    </row>
  </sheetData>
  <mergeCells count="3">
    <mergeCell ref="E3:H3"/>
    <mergeCell ref="L3:O3"/>
    <mergeCell ref="S3:V3"/>
  </mergeCells>
  <pageMargins left="0.25" right="0.25" top="0.75" bottom="0.75" header="0.3" footer="0.3"/>
  <pageSetup scale="36"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0079FF"/>
    <pageSetUpPr fitToPage="1"/>
  </sheetPr>
  <dimension ref="A1:B28"/>
  <sheetViews>
    <sheetView zoomScale="65" zoomScaleNormal="65" zoomScaleSheetLayoutView="70" workbookViewId="0"/>
  </sheetViews>
  <sheetFormatPr defaultColWidth="9.140625" defaultRowHeight="16.5" x14ac:dyDescent="0.25"/>
  <cols>
    <col min="1" max="1" width="5.7109375" style="52" customWidth="1"/>
    <col min="2" max="2" width="200.5703125" style="52" customWidth="1"/>
    <col min="3" max="3" width="7.7109375" style="52" customWidth="1"/>
    <col min="4" max="16384" width="9.140625" style="52"/>
  </cols>
  <sheetData>
    <row r="1" spans="1:2" ht="18" x14ac:dyDescent="0.25">
      <c r="B1" s="207" t="s">
        <v>295</v>
      </c>
    </row>
    <row r="2" spans="1:2" x14ac:dyDescent="0.25">
      <c r="B2" s="212"/>
    </row>
    <row r="3" spans="1:2" x14ac:dyDescent="0.25">
      <c r="B3" s="52" t="s">
        <v>174</v>
      </c>
    </row>
    <row r="5" spans="1:2" s="168" customFormat="1" ht="49.5" x14ac:dyDescent="0.25">
      <c r="A5" s="318" t="s">
        <v>113</v>
      </c>
      <c r="B5" s="318" t="s">
        <v>307</v>
      </c>
    </row>
    <row r="6" spans="1:2" s="168" customFormat="1" x14ac:dyDescent="0.25">
      <c r="A6" s="318"/>
      <c r="B6" s="319"/>
    </row>
    <row r="7" spans="1:2" s="168" customFormat="1" ht="49.5" x14ac:dyDescent="0.25">
      <c r="A7" s="318" t="s">
        <v>114</v>
      </c>
      <c r="B7" s="318" t="s">
        <v>308</v>
      </c>
    </row>
    <row r="8" spans="1:2" s="168" customFormat="1" x14ac:dyDescent="0.25">
      <c r="A8" s="318"/>
      <c r="B8" s="320"/>
    </row>
    <row r="9" spans="1:2" s="168" customFormat="1" ht="49.5" x14ac:dyDescent="0.25">
      <c r="A9" s="318" t="s">
        <v>115</v>
      </c>
      <c r="B9" s="318" t="s">
        <v>350</v>
      </c>
    </row>
    <row r="10" spans="1:2" s="168" customFormat="1" x14ac:dyDescent="0.25">
      <c r="A10" s="318"/>
      <c r="B10" s="320"/>
    </row>
    <row r="11" spans="1:2" s="168" customFormat="1" ht="49.5" x14ac:dyDescent="0.25">
      <c r="A11" s="318" t="s">
        <v>116</v>
      </c>
      <c r="B11" s="318" t="s">
        <v>349</v>
      </c>
    </row>
    <row r="12" spans="1:2" s="168" customFormat="1" x14ac:dyDescent="0.25">
      <c r="A12" s="318"/>
      <c r="B12" s="320"/>
    </row>
    <row r="13" spans="1:2" s="168" customFormat="1" ht="49.5" x14ac:dyDescent="0.25">
      <c r="A13" s="318" t="s">
        <v>117</v>
      </c>
      <c r="B13" s="318" t="s">
        <v>348</v>
      </c>
    </row>
    <row r="14" spans="1:2" s="168" customFormat="1" x14ac:dyDescent="0.25">
      <c r="A14" s="318"/>
      <c r="B14" s="320"/>
    </row>
    <row r="15" spans="1:2" s="168" customFormat="1" ht="49.5" x14ac:dyDescent="0.25">
      <c r="A15" s="318" t="s">
        <v>118</v>
      </c>
      <c r="B15" s="318" t="s">
        <v>347</v>
      </c>
    </row>
    <row r="16" spans="1:2" s="168" customFormat="1" x14ac:dyDescent="0.25">
      <c r="A16" s="318"/>
      <c r="B16" s="320"/>
    </row>
    <row r="17" spans="1:2" s="168" customFormat="1" ht="92.25" customHeight="1" x14ac:dyDescent="0.25">
      <c r="A17" s="318" t="s">
        <v>119</v>
      </c>
      <c r="B17" s="318" t="s">
        <v>351</v>
      </c>
    </row>
    <row r="18" spans="1:2" s="168" customFormat="1" x14ac:dyDescent="0.25">
      <c r="A18" s="318"/>
      <c r="B18" s="320"/>
    </row>
    <row r="19" spans="1:2" s="168" customFormat="1" ht="49.5" x14ac:dyDescent="0.25">
      <c r="A19" s="318" t="s">
        <v>120</v>
      </c>
      <c r="B19" s="318" t="s">
        <v>352</v>
      </c>
    </row>
    <row r="20" spans="1:2" s="168" customFormat="1" x14ac:dyDescent="0.25">
      <c r="A20" s="318"/>
      <c r="B20" s="321"/>
    </row>
    <row r="21" spans="1:2" s="168" customFormat="1" ht="33" x14ac:dyDescent="0.25">
      <c r="A21" s="318" t="s">
        <v>121</v>
      </c>
      <c r="B21" s="318" t="s">
        <v>353</v>
      </c>
    </row>
    <row r="22" spans="1:2" s="168" customFormat="1" x14ac:dyDescent="0.25">
      <c r="A22" s="318"/>
      <c r="B22" s="322"/>
    </row>
    <row r="23" spans="1:2" s="168" customFormat="1" ht="33" x14ac:dyDescent="0.25">
      <c r="A23" s="323" t="s">
        <v>282</v>
      </c>
      <c r="B23" s="318" t="s">
        <v>281</v>
      </c>
    </row>
    <row r="24" spans="1:2" s="168" customFormat="1" x14ac:dyDescent="0.25">
      <c r="A24" s="318"/>
    </row>
    <row r="25" spans="1:2" s="168" customFormat="1" ht="49.5" x14ac:dyDescent="0.25">
      <c r="A25" s="323" t="s">
        <v>324</v>
      </c>
      <c r="B25" s="318" t="s">
        <v>367</v>
      </c>
    </row>
    <row r="26" spans="1:2" s="168" customFormat="1" x14ac:dyDescent="0.25"/>
    <row r="27" spans="1:2" s="168" customFormat="1" ht="95.25" customHeight="1" x14ac:dyDescent="0.25">
      <c r="A27" s="323" t="s">
        <v>354</v>
      </c>
      <c r="B27" s="318" t="s">
        <v>372</v>
      </c>
    </row>
    <row r="28" spans="1:2" s="168" customFormat="1" x14ac:dyDescent="0.25"/>
  </sheetData>
  <pageMargins left="0.25" right="0.25" top="0.75" bottom="0.75" header="0.3" footer="0.3"/>
  <pageSetup scale="62"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0079FF"/>
    <pageSetUpPr fitToPage="1"/>
  </sheetPr>
  <dimension ref="B1:H45"/>
  <sheetViews>
    <sheetView topLeftCell="A17" zoomScale="65" zoomScaleNormal="65" zoomScaleSheetLayoutView="70" workbookViewId="0">
      <selection activeCell="B19" sqref="B19"/>
    </sheetView>
  </sheetViews>
  <sheetFormatPr defaultColWidth="9.140625" defaultRowHeight="16.5" x14ac:dyDescent="0.25"/>
  <cols>
    <col min="1" max="1" width="9.140625" style="52"/>
    <col min="2" max="2" width="196.7109375" style="221" customWidth="1"/>
    <col min="3" max="3" width="134.85546875" style="52" customWidth="1"/>
    <col min="4" max="16384" width="9.140625" style="52"/>
  </cols>
  <sheetData>
    <row r="1" spans="2:8" ht="18" x14ac:dyDescent="0.25">
      <c r="B1" s="223" t="s">
        <v>304</v>
      </c>
      <c r="C1" s="218"/>
      <c r="D1" s="218"/>
      <c r="E1" s="218"/>
      <c r="F1" s="218"/>
      <c r="G1" s="218"/>
      <c r="H1" s="218"/>
    </row>
    <row r="3" spans="2:8" ht="177" customHeight="1" x14ac:dyDescent="0.25">
      <c r="B3" s="216" t="s">
        <v>365</v>
      </c>
    </row>
    <row r="4" spans="2:8" ht="33" x14ac:dyDescent="0.25">
      <c r="B4" s="216" t="s">
        <v>134</v>
      </c>
    </row>
    <row r="5" spans="2:8" ht="33" x14ac:dyDescent="0.25">
      <c r="B5" s="219" t="s">
        <v>187</v>
      </c>
    </row>
    <row r="6" spans="2:8" x14ac:dyDescent="0.25">
      <c r="B6" s="219" t="s">
        <v>188</v>
      </c>
    </row>
    <row r="7" spans="2:8" ht="33" x14ac:dyDescent="0.25">
      <c r="B7" s="219" t="s">
        <v>189</v>
      </c>
    </row>
    <row r="8" spans="2:8" x14ac:dyDescent="0.25">
      <c r="B8" s="216" t="s">
        <v>135</v>
      </c>
    </row>
    <row r="9" spans="2:8" ht="82.5" x14ac:dyDescent="0.25">
      <c r="B9" s="216" t="s">
        <v>136</v>
      </c>
    </row>
    <row r="11" spans="2:8" x14ac:dyDescent="0.25">
      <c r="B11" s="216" t="s">
        <v>137</v>
      </c>
    </row>
    <row r="12" spans="2:8" ht="82.5" x14ac:dyDescent="0.25">
      <c r="B12" s="219" t="s">
        <v>190</v>
      </c>
    </row>
    <row r="13" spans="2:8" ht="66" x14ac:dyDescent="0.25">
      <c r="B13" s="219" t="s">
        <v>191</v>
      </c>
    </row>
    <row r="14" spans="2:8" ht="99" x14ac:dyDescent="0.25">
      <c r="B14" s="219" t="s">
        <v>192</v>
      </c>
    </row>
    <row r="15" spans="2:8" ht="82.5" x14ac:dyDescent="0.25">
      <c r="B15" s="219" t="s">
        <v>193</v>
      </c>
    </row>
    <row r="16" spans="2:8" ht="82.5" x14ac:dyDescent="0.25">
      <c r="B16" s="219" t="s">
        <v>344</v>
      </c>
    </row>
    <row r="17" spans="2:2" ht="33" x14ac:dyDescent="0.25">
      <c r="B17" s="219" t="s">
        <v>337</v>
      </c>
    </row>
    <row r="18" spans="2:2" ht="132.75" customHeight="1" x14ac:dyDescent="0.25">
      <c r="B18" s="219" t="s">
        <v>373</v>
      </c>
    </row>
    <row r="19" spans="2:2" ht="82.5" x14ac:dyDescent="0.25">
      <c r="B19" s="219" t="s">
        <v>194</v>
      </c>
    </row>
    <row r="20" spans="2:2" ht="66" x14ac:dyDescent="0.25">
      <c r="B20" s="219" t="s">
        <v>195</v>
      </c>
    </row>
    <row r="21" spans="2:2" ht="117.75" customHeight="1" x14ac:dyDescent="0.25">
      <c r="B21" s="267" t="s">
        <v>374</v>
      </c>
    </row>
    <row r="22" spans="2:2" ht="84" customHeight="1" x14ac:dyDescent="0.25">
      <c r="B22" s="219" t="s">
        <v>341</v>
      </c>
    </row>
    <row r="23" spans="2:2" ht="8.25" customHeight="1" x14ac:dyDescent="0.25"/>
    <row r="24" spans="2:2" ht="8.25" customHeight="1" x14ac:dyDescent="0.25"/>
    <row r="25" spans="2:2" ht="148.5" x14ac:dyDescent="0.25">
      <c r="B25" s="219" t="s">
        <v>375</v>
      </c>
    </row>
    <row r="26" spans="2:2" x14ac:dyDescent="0.25">
      <c r="B26" s="219"/>
    </row>
    <row r="27" spans="2:2" x14ac:dyDescent="0.25">
      <c r="B27" s="220" t="s">
        <v>345</v>
      </c>
    </row>
    <row r="28" spans="2:2" ht="33" x14ac:dyDescent="0.25">
      <c r="B28" s="216" t="s">
        <v>329</v>
      </c>
    </row>
    <row r="29" spans="2:2" ht="42" customHeight="1" x14ac:dyDescent="0.25">
      <c r="B29" s="216" t="s">
        <v>370</v>
      </c>
    </row>
    <row r="30" spans="2:2" x14ac:dyDescent="0.25">
      <c r="B30" s="216"/>
    </row>
    <row r="31" spans="2:2" ht="33" x14ac:dyDescent="0.25">
      <c r="B31" s="216" t="s">
        <v>371</v>
      </c>
    </row>
    <row r="32" spans="2:2" ht="35.25" customHeight="1" x14ac:dyDescent="0.25">
      <c r="B32" s="216" t="s">
        <v>294</v>
      </c>
    </row>
    <row r="33" spans="2:2" ht="9.75" customHeight="1" x14ac:dyDescent="0.25">
      <c r="B33" s="216"/>
    </row>
    <row r="34" spans="2:2" ht="40.5" customHeight="1" x14ac:dyDescent="0.25">
      <c r="B34" s="216" t="s">
        <v>306</v>
      </c>
    </row>
    <row r="35" spans="2:2" x14ac:dyDescent="0.25">
      <c r="B35" s="216"/>
    </row>
    <row r="36" spans="2:2" ht="82.5" x14ac:dyDescent="0.25">
      <c r="B36" s="216" t="s">
        <v>376</v>
      </c>
    </row>
    <row r="37" spans="2:2" x14ac:dyDescent="0.25">
      <c r="B37" s="216"/>
    </row>
    <row r="38" spans="2:2" x14ac:dyDescent="0.25">
      <c r="B38" s="220" t="s">
        <v>138</v>
      </c>
    </row>
    <row r="39" spans="2:2" ht="82.5" x14ac:dyDescent="0.25">
      <c r="B39" s="216" t="s">
        <v>357</v>
      </c>
    </row>
    <row r="40" spans="2:2" x14ac:dyDescent="0.25">
      <c r="B40" s="216"/>
    </row>
    <row r="41" spans="2:2" x14ac:dyDescent="0.25">
      <c r="B41" s="220" t="s">
        <v>139</v>
      </c>
    </row>
    <row r="42" spans="2:2" ht="66" x14ac:dyDescent="0.25">
      <c r="B42" s="216" t="s">
        <v>140</v>
      </c>
    </row>
    <row r="44" spans="2:2" x14ac:dyDescent="0.25">
      <c r="B44" s="220" t="s">
        <v>292</v>
      </c>
    </row>
    <row r="45" spans="2:2" ht="247.5" x14ac:dyDescent="0.25">
      <c r="B45" s="216" t="s">
        <v>293</v>
      </c>
    </row>
  </sheetData>
  <pageMargins left="0.25" right="0.25" top="0.75" bottom="0.75" header="0.3" footer="0.3"/>
  <pageSetup scale="23" orientation="landscape" r:id="rId1"/>
  <rowBreaks count="1" manualBreakCount="1">
    <brk id="16" min="1" max="1" man="1"/>
  </rowBreaks>
  <colBreaks count="1" manualBreakCount="1">
    <brk id="2" max="3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1B65A9"/>
  </sheetPr>
  <dimension ref="A1:A11"/>
  <sheetViews>
    <sheetView zoomScale="65" zoomScaleNormal="65" workbookViewId="0"/>
  </sheetViews>
  <sheetFormatPr defaultColWidth="9.140625" defaultRowHeight="19.5" x14ac:dyDescent="0.3"/>
  <cols>
    <col min="1" max="1" width="65" style="236" bestFit="1" customWidth="1"/>
    <col min="2" max="16384" width="9.140625" style="236"/>
  </cols>
  <sheetData>
    <row r="1" spans="1:1" x14ac:dyDescent="0.3">
      <c r="A1" s="235" t="s">
        <v>273</v>
      </c>
    </row>
    <row r="3" spans="1:1" x14ac:dyDescent="0.3">
      <c r="A3" s="237" t="s">
        <v>272</v>
      </c>
    </row>
    <row r="4" spans="1:1" x14ac:dyDescent="0.3">
      <c r="A4" s="238" t="s">
        <v>261</v>
      </c>
    </row>
    <row r="5" spans="1:1" x14ac:dyDescent="0.3">
      <c r="A5" s="238" t="s">
        <v>88</v>
      </c>
    </row>
    <row r="6" spans="1:1" x14ac:dyDescent="0.3">
      <c r="A6" s="238" t="s">
        <v>264</v>
      </c>
    </row>
    <row r="7" spans="1:1" x14ac:dyDescent="0.3">
      <c r="A7" s="238" t="s">
        <v>265</v>
      </c>
    </row>
    <row r="8" spans="1:1" x14ac:dyDescent="0.3">
      <c r="A8" s="238" t="s">
        <v>262</v>
      </c>
    </row>
    <row r="9" spans="1:1" x14ac:dyDescent="0.3">
      <c r="A9" s="238" t="s">
        <v>263</v>
      </c>
    </row>
    <row r="10" spans="1:1" x14ac:dyDescent="0.3">
      <c r="A10" s="238" t="s">
        <v>161</v>
      </c>
    </row>
    <row r="11" spans="1:1" x14ac:dyDescent="0.3">
      <c r="A11" s="238" t="s">
        <v>133</v>
      </c>
    </row>
  </sheetData>
  <hyperlinks>
    <hyperlink ref="A4" location="'CIS Summary Metrics'!Print_Area" display="Summary Metrics" xr:uid="{00000000-0004-0000-1600-000000000000}"/>
    <hyperlink ref="A5" location="'CIS Revenue Metrics'!A1" display="Revenue Metrics" xr:uid="{00000000-0004-0000-1600-000001000000}"/>
    <hyperlink ref="A6" location="'CIS Constant Currency'!A1" display="Constant Currency" xr:uid="{00000000-0004-0000-1600-000002000000}"/>
    <hyperlink ref="A7" location="'CIS Operating Expenses'!A1" display="Operating Expenses" xr:uid="{00000000-0004-0000-1600-000003000000}"/>
    <hyperlink ref="A8" location="'CIS Gross Profit'!A1" display="Gross Profit" xr:uid="{00000000-0004-0000-1600-000004000000}"/>
    <hyperlink ref="A9" location="'CIS Operating &amp; EBITDA Margins'!A1" display="Operating &amp; EBITDA Margins" xr:uid="{00000000-0004-0000-1600-000005000000}"/>
    <hyperlink ref="A10" location="'CIS Footnotes'!A1" display="Footnotes" xr:uid="{00000000-0004-0000-1600-000006000000}"/>
    <hyperlink ref="A11" location="'CIS Suppl. Info NG Measures'!A1" display="Supplemental Information About Non-GAAP Financial Measures" xr:uid="{00000000-0004-0000-1600-000007000000}"/>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1B65A9"/>
    <pageSetUpPr fitToPage="1"/>
  </sheetPr>
  <dimension ref="A1:AT31"/>
  <sheetViews>
    <sheetView zoomScale="65" zoomScaleNormal="65" zoomScaleSheetLayoutView="70" workbookViewId="0">
      <pane xSplit="3" ySplit="5" topLeftCell="D6" activePane="bottomRight" state="frozen"/>
      <selection activeCell="B2" sqref="B2"/>
      <selection pane="topRight" activeCell="B2" sqref="B2"/>
      <selection pane="bottomLeft" activeCell="B2" sqref="B2"/>
      <selection pane="bottomRight" activeCell="D6" sqref="D6"/>
    </sheetView>
  </sheetViews>
  <sheetFormatPr defaultColWidth="9.140625" defaultRowHeight="14.25" outlineLevelRow="1" outlineLevelCol="2" x14ac:dyDescent="0.2"/>
  <cols>
    <col min="1" max="1" width="11" style="24" customWidth="1"/>
    <col min="2" max="2" width="77" style="24" bestFit="1" customWidth="1"/>
    <col min="3" max="3" width="1.7109375" style="24" customWidth="1"/>
    <col min="4" max="5" width="15.7109375" style="24" customWidth="1" outlineLevel="1"/>
    <col min="6" max="6" width="1.7109375" style="24" customWidth="1" outlineLevel="1"/>
    <col min="7" max="8" width="15.7109375" style="24" customWidth="1" outlineLevel="1"/>
    <col min="9" max="9" width="1.7109375" style="24" hidden="1" customWidth="1" outlineLevel="2"/>
    <col min="10" max="17" width="15.7109375" style="24" hidden="1" customWidth="1" outlineLevel="2"/>
    <col min="18" max="18" width="1.7109375" style="24" customWidth="1" outlineLevel="1" collapsed="1"/>
    <col min="19" max="20" width="15.7109375" style="24" customWidth="1" outlineLevel="1"/>
    <col min="21" max="21" width="1.7109375" style="24" customWidth="1"/>
    <col min="22" max="29" width="15.7109375" style="24" customWidth="1" outlineLevel="1"/>
    <col min="30" max="30" width="1.7109375" style="24" customWidth="1"/>
    <col min="31" max="32" width="15.7109375" style="24" customWidth="1"/>
    <col min="33" max="33" width="1.7109375" style="24" customWidth="1"/>
    <col min="34" max="41" width="15.7109375" style="24" customWidth="1"/>
    <col min="42" max="42" width="1.7109375" style="24" customWidth="1"/>
    <col min="43" max="44" width="15.7109375" style="24" customWidth="1"/>
    <col min="45" max="45" width="1.7109375" style="24" customWidth="1"/>
    <col min="46" max="46" width="45.85546875" style="24" bestFit="1" customWidth="1"/>
    <col min="47" max="47" width="20.85546875" style="24" customWidth="1"/>
    <col min="48" max="16384" width="9.140625" style="24"/>
  </cols>
  <sheetData>
    <row r="1" spans="1:46" ht="18" x14ac:dyDescent="0.25">
      <c r="A1" s="198" t="s">
        <v>170</v>
      </c>
      <c r="B1" s="45"/>
    </row>
    <row r="2" spans="1:46" ht="15" thickBot="1" x14ac:dyDescent="0.25"/>
    <row r="3" spans="1:46" ht="19.5" customHeight="1" x14ac:dyDescent="0.2">
      <c r="A3" s="346" t="s">
        <v>84</v>
      </c>
      <c r="B3" s="347"/>
      <c r="D3" s="335" t="s">
        <v>99</v>
      </c>
      <c r="E3" s="336"/>
      <c r="G3" s="335" t="s">
        <v>99</v>
      </c>
      <c r="H3" s="336"/>
      <c r="J3" s="339" t="s">
        <v>1</v>
      </c>
      <c r="K3" s="340"/>
      <c r="L3" s="340"/>
      <c r="M3" s="340"/>
      <c r="N3" s="340"/>
      <c r="O3" s="340"/>
      <c r="P3" s="340"/>
      <c r="Q3" s="341"/>
      <c r="S3" s="335" t="s">
        <v>99</v>
      </c>
      <c r="T3" s="336"/>
      <c r="V3" s="339" t="s">
        <v>1</v>
      </c>
      <c r="W3" s="340"/>
      <c r="X3" s="340"/>
      <c r="Y3" s="340"/>
      <c r="Z3" s="340"/>
      <c r="AA3" s="340"/>
      <c r="AB3" s="340"/>
      <c r="AC3" s="341"/>
      <c r="AE3" s="335" t="s">
        <v>99</v>
      </c>
      <c r="AF3" s="336"/>
      <c r="AH3" s="339" t="s">
        <v>328</v>
      </c>
      <c r="AI3" s="340"/>
      <c r="AJ3" s="340"/>
      <c r="AK3" s="340"/>
      <c r="AL3" s="340"/>
      <c r="AM3" s="340"/>
      <c r="AN3" s="340"/>
      <c r="AO3" s="341"/>
      <c r="AQ3" s="335" t="s">
        <v>99</v>
      </c>
      <c r="AR3" s="336"/>
      <c r="AT3" s="332" t="s">
        <v>85</v>
      </c>
    </row>
    <row r="4" spans="1:46" ht="15.75" customHeight="1" thickBot="1" x14ac:dyDescent="0.25">
      <c r="A4" s="365"/>
      <c r="B4" s="366"/>
      <c r="D4" s="337">
        <v>42766</v>
      </c>
      <c r="E4" s="338"/>
      <c r="G4" s="337">
        <v>43131</v>
      </c>
      <c r="H4" s="338"/>
      <c r="J4" s="342">
        <v>43220</v>
      </c>
      <c r="K4" s="343"/>
      <c r="L4" s="324">
        <v>43312</v>
      </c>
      <c r="M4" s="343"/>
      <c r="N4" s="324">
        <v>43404</v>
      </c>
      <c r="O4" s="343"/>
      <c r="P4" s="324">
        <v>43496</v>
      </c>
      <c r="Q4" s="325"/>
      <c r="S4" s="337" t="s">
        <v>100</v>
      </c>
      <c r="T4" s="338"/>
      <c r="V4" s="342">
        <v>43585</v>
      </c>
      <c r="W4" s="343"/>
      <c r="X4" s="324">
        <v>43677</v>
      </c>
      <c r="Y4" s="325"/>
      <c r="Z4" s="324">
        <v>43769</v>
      </c>
      <c r="AA4" s="325"/>
      <c r="AB4" s="324">
        <v>43861</v>
      </c>
      <c r="AC4" s="325"/>
      <c r="AE4" s="337">
        <v>43861</v>
      </c>
      <c r="AF4" s="338"/>
      <c r="AH4" s="324">
        <v>43951</v>
      </c>
      <c r="AI4" s="325"/>
      <c r="AJ4" s="324">
        <v>44043</v>
      </c>
      <c r="AK4" s="325"/>
      <c r="AL4" s="324">
        <v>44135</v>
      </c>
      <c r="AM4" s="325"/>
      <c r="AN4" s="324">
        <v>44227</v>
      </c>
      <c r="AO4" s="325"/>
      <c r="AQ4" s="337">
        <v>44227</v>
      </c>
      <c r="AR4" s="338"/>
      <c r="AT4" s="333"/>
    </row>
    <row r="5" spans="1:46" ht="16.5" customHeight="1" thickBot="1" x14ac:dyDescent="0.25">
      <c r="A5" s="344" t="s">
        <v>0</v>
      </c>
      <c r="B5" s="345"/>
      <c r="D5" s="40" t="s">
        <v>86</v>
      </c>
      <c r="E5" s="40" t="s">
        <v>87</v>
      </c>
      <c r="G5" s="40" t="s">
        <v>86</v>
      </c>
      <c r="H5" s="40" t="s">
        <v>87</v>
      </c>
      <c r="J5" s="41" t="s">
        <v>86</v>
      </c>
      <c r="K5" s="42" t="s">
        <v>87</v>
      </c>
      <c r="L5" s="42" t="s">
        <v>86</v>
      </c>
      <c r="M5" s="42" t="s">
        <v>87</v>
      </c>
      <c r="N5" s="42" t="s">
        <v>86</v>
      </c>
      <c r="O5" s="42" t="s">
        <v>87</v>
      </c>
      <c r="P5" s="42" t="s">
        <v>86</v>
      </c>
      <c r="Q5" s="43" t="s">
        <v>87</v>
      </c>
      <c r="S5" s="40" t="s">
        <v>86</v>
      </c>
      <c r="T5" s="40" t="s">
        <v>87</v>
      </c>
      <c r="V5" s="44" t="s">
        <v>86</v>
      </c>
      <c r="W5" s="44" t="s">
        <v>87</v>
      </c>
      <c r="X5" s="44" t="s">
        <v>86</v>
      </c>
      <c r="Y5" s="44" t="s">
        <v>87</v>
      </c>
      <c r="Z5" s="42" t="s">
        <v>86</v>
      </c>
      <c r="AA5" s="43" t="s">
        <v>87</v>
      </c>
      <c r="AB5" s="42" t="s">
        <v>86</v>
      </c>
      <c r="AC5" s="43" t="s">
        <v>87</v>
      </c>
      <c r="AE5" s="40" t="s">
        <v>86</v>
      </c>
      <c r="AF5" s="40" t="s">
        <v>87</v>
      </c>
      <c r="AH5" s="42" t="s">
        <v>86</v>
      </c>
      <c r="AI5" s="43" t="s">
        <v>87</v>
      </c>
      <c r="AJ5" s="42" t="s">
        <v>86</v>
      </c>
      <c r="AK5" s="43" t="s">
        <v>87</v>
      </c>
      <c r="AL5" s="42" t="s">
        <v>86</v>
      </c>
      <c r="AM5" s="43" t="s">
        <v>87</v>
      </c>
      <c r="AN5" s="42" t="s">
        <v>86</v>
      </c>
      <c r="AO5" s="43" t="s">
        <v>87</v>
      </c>
      <c r="AQ5" s="40" t="s">
        <v>86</v>
      </c>
      <c r="AR5" s="40" t="s">
        <v>87</v>
      </c>
      <c r="AT5" s="334"/>
    </row>
    <row r="6" spans="1:46" ht="24" customHeight="1" thickBot="1" x14ac:dyDescent="0.25">
      <c r="A6" s="348" t="s">
        <v>88</v>
      </c>
      <c r="B6" s="205" t="s">
        <v>89</v>
      </c>
      <c r="D6" s="26">
        <f>+'CIS Revenue Metrics'!B6</f>
        <v>122.074</v>
      </c>
      <c r="E6" s="26">
        <f>+'CIS Revenue Metrics'!B14</f>
        <v>122.2</v>
      </c>
      <c r="G6" s="26">
        <f>+'CIS Revenue Metrics'!C6</f>
        <v>130.60000000000002</v>
      </c>
      <c r="H6" s="26">
        <f>+'CIS Revenue Metrics'!C14</f>
        <v>130.80000000000001</v>
      </c>
      <c r="J6" s="26">
        <f>+'CIS Revenue Metrics'!E6</f>
        <v>36.1</v>
      </c>
      <c r="K6" s="26">
        <f>+'CIS Revenue Metrics'!E14</f>
        <v>36.200000000000003</v>
      </c>
      <c r="L6" s="26">
        <f>+'CIS Revenue Metrics'!F6</f>
        <v>42.7</v>
      </c>
      <c r="M6" s="26">
        <f>+'CIS Revenue Metrics'!F14</f>
        <v>42.7</v>
      </c>
      <c r="N6" s="26">
        <f>+'CIS Revenue Metrics'!G6</f>
        <v>40.348999999999997</v>
      </c>
      <c r="O6" s="26">
        <f>+'CIS Revenue Metrics'!G14</f>
        <v>40.299999999999997</v>
      </c>
      <c r="P6" s="26">
        <f>+'CIS Revenue Metrics'!H6</f>
        <v>46</v>
      </c>
      <c r="Q6" s="26">
        <f>+'CIS Revenue Metrics'!H14</f>
        <v>46.2</v>
      </c>
      <c r="S6" s="26">
        <f>+'CIS Revenue Metrics'!J6</f>
        <v>165.2</v>
      </c>
      <c r="T6" s="26">
        <f>+'CIS Revenue Metrics'!J14</f>
        <v>165.6</v>
      </c>
      <c r="V6" s="26">
        <f>+'CIS Revenue Metrics'!L6</f>
        <v>46.8</v>
      </c>
      <c r="W6" s="26">
        <f>+'CIS Revenue Metrics'!L14</f>
        <v>46.9</v>
      </c>
      <c r="X6" s="26">
        <f>+'CIS Revenue Metrics'!M6</f>
        <v>46.2</v>
      </c>
      <c r="Y6" s="26">
        <f>+'CIS Revenue Metrics'!M14</f>
        <v>46.2</v>
      </c>
      <c r="Z6" s="26">
        <f>+'CIS Revenue Metrics'!N6</f>
        <v>47.497999999999998</v>
      </c>
      <c r="AA6" s="26">
        <f>+'CIS Revenue Metrics'!N14</f>
        <v>47.497999999999998</v>
      </c>
      <c r="AB6" s="26">
        <f>+'CIS Revenue Metrics'!O6</f>
        <v>52.091999999999999</v>
      </c>
      <c r="AC6" s="26">
        <f>+'CIS Revenue Metrics'!O14</f>
        <v>52.563000000000002</v>
      </c>
      <c r="AE6" s="26">
        <f>+'CIS Revenue Metrics'!Q6</f>
        <v>192.578</v>
      </c>
      <c r="AF6" s="26">
        <f>+'CIS Revenue Metrics'!Q14</f>
        <v>193.2</v>
      </c>
      <c r="AH6" s="26">
        <f>+'CIS Revenue Metrics'!S6</f>
        <v>56.037999999999997</v>
      </c>
      <c r="AI6" s="26">
        <f>+'CIS Revenue Metrics'!S14</f>
        <v>57.13</v>
      </c>
      <c r="AJ6" s="26">
        <f>+'CIS Revenue Metrics'!T6</f>
        <v>51.651000000000003</v>
      </c>
      <c r="AK6" s="26">
        <f>+'CIS Revenue Metrics'!T14</f>
        <v>52.889000000000003</v>
      </c>
      <c r="AL6" s="26">
        <f>+'CIS Revenue Metrics'!U6</f>
        <v>57.128</v>
      </c>
      <c r="AM6" s="26">
        <f>+'CIS Revenue Metrics'!U14</f>
        <v>57.82</v>
      </c>
      <c r="AN6" s="26">
        <f>+'CIS Revenue Metrics'!V6</f>
        <v>58.588000000000001</v>
      </c>
      <c r="AO6" s="26">
        <f>+'CIS Revenue Metrics'!V14</f>
        <v>59.134999999999998</v>
      </c>
      <c r="AQ6" s="26">
        <f>+'CIS Revenue Metrics'!X6</f>
        <v>223.405</v>
      </c>
      <c r="AR6" s="26">
        <f>+'CIS Revenue Metrics'!X14</f>
        <v>226.97399999999999</v>
      </c>
      <c r="AT6" s="328" t="s">
        <v>164</v>
      </c>
    </row>
    <row r="7" spans="1:46" ht="24" customHeight="1" thickBot="1" x14ac:dyDescent="0.25">
      <c r="A7" s="349"/>
      <c r="B7" s="205" t="s">
        <v>90</v>
      </c>
      <c r="D7" s="26">
        <f>+'CIS Revenue Metrics'!B7</f>
        <v>234.102</v>
      </c>
      <c r="E7" s="26">
        <f>+'CIS Revenue Metrics'!B15</f>
        <v>234.3</v>
      </c>
      <c r="G7" s="21">
        <f>+'CIS Revenue Metrics'!C7</f>
        <v>264.5</v>
      </c>
      <c r="H7" s="21">
        <f>+'CIS Revenue Metrics'!C15</f>
        <v>264.7</v>
      </c>
      <c r="J7" s="21">
        <f>+'CIS Revenue Metrics'!E7</f>
        <v>66.600999999999999</v>
      </c>
      <c r="K7" s="21">
        <f>+'CIS Revenue Metrics'!E15</f>
        <v>66.599999999999994</v>
      </c>
      <c r="L7" s="21">
        <f>+'CIS Revenue Metrics'!F7</f>
        <v>62.780999999999999</v>
      </c>
      <c r="M7" s="21">
        <f>+'CIS Revenue Metrics'!F15</f>
        <v>62.8</v>
      </c>
      <c r="N7" s="21">
        <f>+'CIS Revenue Metrics'!G7</f>
        <v>66.167000000000002</v>
      </c>
      <c r="O7" s="21">
        <f>+'CIS Revenue Metrics'!G15</f>
        <v>66.2</v>
      </c>
      <c r="P7" s="21">
        <f>+'CIS Revenue Metrics'!H7</f>
        <v>72.7</v>
      </c>
      <c r="Q7" s="21">
        <f>+'CIS Revenue Metrics'!H15</f>
        <v>72.7</v>
      </c>
      <c r="S7" s="21">
        <f>+'CIS Revenue Metrics'!J7</f>
        <v>268.2</v>
      </c>
      <c r="T7" s="21">
        <f>+'CIS Revenue Metrics'!J15</f>
        <v>268.2</v>
      </c>
      <c r="V7" s="21">
        <f>+'CIS Revenue Metrics'!L7</f>
        <v>61.4</v>
      </c>
      <c r="W7" s="21">
        <f>+'CIS Revenue Metrics'!L15</f>
        <v>61.4</v>
      </c>
      <c r="X7" s="21">
        <f>+'CIS Revenue Metrics'!M7</f>
        <v>66.7</v>
      </c>
      <c r="Y7" s="21">
        <f>+'CIS Revenue Metrics'!M15</f>
        <v>66.7</v>
      </c>
      <c r="Z7" s="21">
        <f>+'CIS Revenue Metrics'!N7</f>
        <v>59.433</v>
      </c>
      <c r="AA7" s="21">
        <f>+'CIS Revenue Metrics'!N15</f>
        <v>59.433</v>
      </c>
      <c r="AB7" s="21">
        <f>+'CIS Revenue Metrics'!O7</f>
        <v>77.052999999999997</v>
      </c>
      <c r="AC7" s="21">
        <f>+'CIS Revenue Metrics'!O15</f>
        <v>82.138999999999996</v>
      </c>
      <c r="AE7" s="21">
        <f>+'CIS Revenue Metrics'!Q7</f>
        <v>264.53100000000001</v>
      </c>
      <c r="AF7" s="21">
        <f>+'CIS Revenue Metrics'!Q15</f>
        <v>269.61700000000002</v>
      </c>
      <c r="AH7" s="21">
        <f>+'CIS Revenue Metrics'!S7</f>
        <v>45.392000000000003</v>
      </c>
      <c r="AI7" s="21">
        <f>+'CIS Revenue Metrics'!S15</f>
        <v>45.392000000000003</v>
      </c>
      <c r="AJ7" s="21">
        <f>+'CIS Revenue Metrics'!T7</f>
        <v>53.378</v>
      </c>
      <c r="AK7" s="21">
        <f>+'CIS Revenue Metrics'!T15</f>
        <v>53.378</v>
      </c>
      <c r="AL7" s="21">
        <f>+'CIS Revenue Metrics'!U7</f>
        <v>55.850999999999999</v>
      </c>
      <c r="AM7" s="21">
        <f>+'CIS Revenue Metrics'!U15</f>
        <v>55.850999999999999</v>
      </c>
      <c r="AN7" s="21">
        <f>+'CIS Revenue Metrics'!V7</f>
        <v>65.432000000000002</v>
      </c>
      <c r="AO7" s="21">
        <f>+'CIS Revenue Metrics'!V15</f>
        <v>65.432000000000002</v>
      </c>
      <c r="AQ7" s="21">
        <f>+'CIS Revenue Metrics'!X7</f>
        <v>220.053</v>
      </c>
      <c r="AR7" s="21">
        <f>+'CIS Revenue Metrics'!X15</f>
        <v>220.053</v>
      </c>
      <c r="AT7" s="376"/>
    </row>
    <row r="8" spans="1:46" ht="24" customHeight="1" thickBot="1" x14ac:dyDescent="0.25">
      <c r="A8" s="350"/>
      <c r="B8" s="205" t="s">
        <v>91</v>
      </c>
      <c r="D8" s="21">
        <f t="shared" ref="D8:E8" si="0">SUM(D6:D7)</f>
        <v>356.17599999999999</v>
      </c>
      <c r="E8" s="21">
        <f t="shared" si="0"/>
        <v>356.5</v>
      </c>
      <c r="G8" s="21">
        <f t="shared" ref="G8:H8" si="1">SUM(G6:G7)</f>
        <v>395.1</v>
      </c>
      <c r="H8" s="21">
        <f t="shared" si="1"/>
        <v>395.5</v>
      </c>
      <c r="J8" s="21">
        <f t="shared" ref="J8:Q8" si="2">SUM(J6:J7)</f>
        <v>102.70099999999999</v>
      </c>
      <c r="K8" s="21">
        <f t="shared" si="2"/>
        <v>102.8</v>
      </c>
      <c r="L8" s="21">
        <f t="shared" si="2"/>
        <v>105.48099999999999</v>
      </c>
      <c r="M8" s="21">
        <f t="shared" si="2"/>
        <v>105.5</v>
      </c>
      <c r="N8" s="21">
        <f t="shared" si="2"/>
        <v>106.51599999999999</v>
      </c>
      <c r="O8" s="21">
        <f t="shared" si="2"/>
        <v>106.5</v>
      </c>
      <c r="P8" s="21">
        <f t="shared" si="2"/>
        <v>118.7</v>
      </c>
      <c r="Q8" s="21">
        <f t="shared" si="2"/>
        <v>118.9</v>
      </c>
      <c r="S8" s="21">
        <f>SUM(S6:S7)</f>
        <v>433.4</v>
      </c>
      <c r="T8" s="21">
        <f>SUM(T6:T7)</f>
        <v>433.79999999999995</v>
      </c>
      <c r="V8" s="21">
        <f t="shared" ref="V8:AA8" si="3">SUM(V6:V7)</f>
        <v>108.19999999999999</v>
      </c>
      <c r="W8" s="21">
        <f t="shared" si="3"/>
        <v>108.3</v>
      </c>
      <c r="X8" s="21">
        <f t="shared" si="3"/>
        <v>112.9</v>
      </c>
      <c r="Y8" s="21">
        <f t="shared" si="3"/>
        <v>112.9</v>
      </c>
      <c r="Z8" s="21">
        <f t="shared" si="3"/>
        <v>106.931</v>
      </c>
      <c r="AA8" s="21">
        <f t="shared" si="3"/>
        <v>106.931</v>
      </c>
      <c r="AB8" s="21">
        <f t="shared" ref="AB8:AC8" si="4">SUM(AB6:AB7)</f>
        <v>129.14499999999998</v>
      </c>
      <c r="AC8" s="21">
        <f t="shared" si="4"/>
        <v>134.702</v>
      </c>
      <c r="AE8" s="21">
        <f>SUM(AE6:AE7)</f>
        <v>457.10900000000004</v>
      </c>
      <c r="AF8" s="21">
        <f>SUM(AF6:AF7)</f>
        <v>462.81700000000001</v>
      </c>
      <c r="AH8" s="21">
        <f>SUM(AH6:AH7)</f>
        <v>101.43</v>
      </c>
      <c r="AI8" s="21">
        <f t="shared" ref="AI8:AK8" si="5">SUM(AI6:AI7)</f>
        <v>102.52200000000001</v>
      </c>
      <c r="AJ8" s="21">
        <f>SUM(AJ6:AJ7)</f>
        <v>105.029</v>
      </c>
      <c r="AK8" s="21">
        <f t="shared" si="5"/>
        <v>106.267</v>
      </c>
      <c r="AL8" s="21">
        <f>SUM(AL6:AL7)</f>
        <v>112.979</v>
      </c>
      <c r="AM8" s="21">
        <f t="shared" ref="AM8:AO8" si="6">SUM(AM6:AM7)</f>
        <v>113.67099999999999</v>
      </c>
      <c r="AN8" s="21">
        <f>SUM(AN6:AN7)</f>
        <v>124.02000000000001</v>
      </c>
      <c r="AO8" s="21">
        <f t="shared" si="6"/>
        <v>124.56700000000001</v>
      </c>
      <c r="AQ8" s="21">
        <f>SUM(AQ6:AQ7)</f>
        <v>443.45799999999997</v>
      </c>
      <c r="AR8" s="21">
        <f>SUM(AR6:AR7)</f>
        <v>447.02699999999999</v>
      </c>
      <c r="AT8" s="377"/>
    </row>
    <row r="9" spans="1:46" ht="17.25" thickBot="1" x14ac:dyDescent="0.25">
      <c r="A9" s="27"/>
      <c r="B9" s="199"/>
      <c r="D9" s="28"/>
      <c r="E9" s="28"/>
      <c r="G9" s="28"/>
      <c r="H9" s="28"/>
      <c r="J9" s="28"/>
      <c r="K9" s="28"/>
      <c r="L9" s="28"/>
      <c r="M9" s="28"/>
      <c r="N9" s="28"/>
      <c r="O9" s="28"/>
      <c r="P9" s="28"/>
      <c r="Q9" s="28"/>
      <c r="S9" s="28"/>
      <c r="T9" s="28"/>
      <c r="V9" s="28"/>
      <c r="W9" s="28"/>
      <c r="X9" s="28"/>
      <c r="Y9" s="28"/>
      <c r="Z9" s="28"/>
      <c r="AA9" s="28"/>
      <c r="AB9" s="28"/>
      <c r="AC9" s="28"/>
      <c r="AE9" s="28"/>
      <c r="AF9" s="28"/>
      <c r="AH9" s="28"/>
      <c r="AI9" s="28"/>
      <c r="AJ9" s="28"/>
      <c r="AK9" s="28"/>
      <c r="AL9" s="28"/>
      <c r="AM9" s="28"/>
      <c r="AN9" s="28"/>
      <c r="AO9" s="28"/>
      <c r="AQ9" s="28"/>
      <c r="AR9" s="28"/>
      <c r="AT9" s="29"/>
    </row>
    <row r="10" spans="1:46" ht="19.5" customHeight="1" thickBot="1" x14ac:dyDescent="0.25">
      <c r="A10" s="348" t="s">
        <v>247</v>
      </c>
      <c r="B10" s="205" t="s">
        <v>249</v>
      </c>
      <c r="D10" s="230">
        <f>+'CIS Constant Currency'!B10</f>
        <v>-0.18189793963836298</v>
      </c>
      <c r="E10" s="230">
        <f>+'CIS Constant Currency'!B18</f>
        <v>-0.18290656662304655</v>
      </c>
      <c r="G10" s="230">
        <f>+'CIS Constant Currency'!C10</f>
        <v>0.10918028460819355</v>
      </c>
      <c r="H10" s="230">
        <f>+'CIS Constant Currency'!C18</f>
        <v>0.1090698476718845</v>
      </c>
      <c r="J10" s="230">
        <f>+'CIS Constant Currency'!E10</f>
        <v>0.12854742336007027</v>
      </c>
      <c r="K10" s="230">
        <f>+'CIS Constant Currency'!E18</f>
        <v>0.12919348814728557</v>
      </c>
      <c r="L10" s="230">
        <f>+'CIS Constant Currency'!F10</f>
        <v>0.1141496584273933</v>
      </c>
      <c r="M10" s="230">
        <f>+'CIS Constant Currency'!F18</f>
        <v>0.11409601418679274</v>
      </c>
      <c r="N10" s="230">
        <f>+'CIS Constant Currency'!G10</f>
        <v>7.4443189154293196E-2</v>
      </c>
      <c r="O10" s="230">
        <f>+'CIS Constant Currency'!G18</f>
        <v>7.3407620851552599E-2</v>
      </c>
      <c r="P10" s="230">
        <f>+'CIS Constant Currency'!H10</f>
        <v>7.5842874885546696E-2</v>
      </c>
      <c r="Q10" s="230">
        <f>+'CIS Constant Currency'!H18</f>
        <v>7.678720243487086E-2</v>
      </c>
      <c r="S10" s="230">
        <f>+'CIS Constant Currency'!J10</f>
        <v>9.6937484181219821E-2</v>
      </c>
      <c r="T10" s="230">
        <f>+'CIS Constant Currency'!J18</f>
        <v>9.6942491527995472E-2</v>
      </c>
      <c r="V10" s="230">
        <f>+'CIS Constant Currency'!L10</f>
        <v>5.3203505355404072E-2</v>
      </c>
      <c r="W10" s="230">
        <f>+'CIS Constant Currency'!L18</f>
        <v>5.3465635488107351E-2</v>
      </c>
      <c r="X10" s="230">
        <f>+'CIS Constant Currency'!M10</f>
        <v>6.964556482183476E-2</v>
      </c>
      <c r="Y10" s="230">
        <f>+'CIS Constant Currency'!M18</f>
        <v>6.9619593538301189E-2</v>
      </c>
      <c r="Z10" s="230">
        <f>+'CIS Constant Currency'!N10</f>
        <v>3.8961282811971159E-3</v>
      </c>
      <c r="AA10" s="230">
        <f>+'CIS Constant Currency'!N18</f>
        <v>3.6699831049370295E-3</v>
      </c>
      <c r="AB10" s="230">
        <f>+'CIS Constant Currency'!O10</f>
        <v>8.8242481440597098E-2</v>
      </c>
      <c r="AC10" s="230">
        <f>+'CIS Constant Currency'!O18</f>
        <v>0.13315891750018921</v>
      </c>
      <c r="AE10" s="230">
        <f>+'CIS Constant Currency'!Q10</f>
        <v>5.4704660821412232E-2</v>
      </c>
      <c r="AF10" s="230">
        <f>+'CIS Constant Currency'!Q18</f>
        <v>6.7005876616415383E-2</v>
      </c>
      <c r="AH10" s="230">
        <f>+'CIS Constant Currency'!S10</f>
        <v>-6.2257312969194879E-2</v>
      </c>
      <c r="AI10" s="230">
        <f>+'CIS Constant Currency'!S18</f>
        <v>-5.3273125190458959E-2</v>
      </c>
      <c r="AJ10" s="230">
        <f>+'CIS Constant Currency'!T10</f>
        <v>-6.9461056623164943E-2</v>
      </c>
      <c r="AK10" s="230">
        <f>+'CIS Constant Currency'!T18</f>
        <v>-5.8692744457140872E-2</v>
      </c>
      <c r="AL10" s="230">
        <f>+'CIS Constant Currency'!U10</f>
        <v>5.6559837652317868E-2</v>
      </c>
      <c r="AM10" s="230">
        <f>+'CIS Constant Currency'!U18</f>
        <v>6.3031300558303902E-2</v>
      </c>
      <c r="AN10" s="230">
        <f>+'CIS Constant Currency'!V10</f>
        <v>-3.9684076038561091E-2</v>
      </c>
      <c r="AO10" s="230">
        <f>+'CIS Constant Currency'!V18</f>
        <v>-7.5240159760062889E-2</v>
      </c>
      <c r="AQ10" s="230">
        <f>+'CIS Constant Currency'!X10</f>
        <v>-2.9863774285783184E-2</v>
      </c>
      <c r="AR10" s="230">
        <f>+'CIS Constant Currency'!X18</f>
        <v>-3.4117156457087836E-2</v>
      </c>
      <c r="AT10" s="378" t="s">
        <v>246</v>
      </c>
    </row>
    <row r="11" spans="1:46" ht="19.5" customHeight="1" thickBot="1" x14ac:dyDescent="0.25">
      <c r="A11" s="349"/>
      <c r="B11" s="205" t="s">
        <v>250</v>
      </c>
      <c r="C11" s="34"/>
      <c r="D11" s="230">
        <f>+'CIS Constant Currency'!B12</f>
        <v>-0.18008125693313642</v>
      </c>
      <c r="E11" s="230">
        <f>+'CIS Constant Currency'!B20</f>
        <v>-0.18183630767538383</v>
      </c>
      <c r="F11" s="34"/>
      <c r="G11" s="230">
        <f>+'CIS Constant Currency'!C12</f>
        <v>9.7670188007602271E-2</v>
      </c>
      <c r="H11" s="230">
        <f>+'CIS Constant Currency'!C20</f>
        <v>9.9477467723885257E-2</v>
      </c>
      <c r="I11" s="34"/>
      <c r="J11" s="230">
        <f>+'CIS Constant Currency'!E12</f>
        <v>0.1097681573453466</v>
      </c>
      <c r="K11" s="230">
        <f>+'CIS Constant Currency'!E20</f>
        <v>0.10947558055232104</v>
      </c>
      <c r="L11" s="230">
        <f>+'CIS Constant Currency'!F12</f>
        <v>0.10865915594082924</v>
      </c>
      <c r="M11" s="230">
        <f>+'CIS Constant Currency'!F20</f>
        <v>0.10834318527275794</v>
      </c>
      <c r="N11" s="230">
        <f>+'CIS Constant Currency'!G12</f>
        <v>8.9412524209167246E-2</v>
      </c>
      <c r="O11" s="230">
        <f>+'CIS Constant Currency'!G20</f>
        <v>8.8117355471819717E-2</v>
      </c>
      <c r="P11" s="230">
        <f>+'CIS Constant Currency'!H12</f>
        <v>9.693854424469886E-2</v>
      </c>
      <c r="Q11" s="230">
        <f>+'CIS Constant Currency'!H20</f>
        <v>9.605420486249501E-2</v>
      </c>
      <c r="R11" s="34"/>
      <c r="S11" s="230">
        <f>+'CIS Constant Currency'!J12</f>
        <v>9.8456087066565362E-2</v>
      </c>
      <c r="T11" s="230">
        <f>+'CIS Constant Currency'!J20</f>
        <v>9.7567143796469538E-2</v>
      </c>
      <c r="U11" s="34"/>
      <c r="V11" s="230">
        <f>+'CIS Constant Currency'!L12</f>
        <v>7.1080817916260919E-2</v>
      </c>
      <c r="W11" s="230">
        <f>+'CIS Constant Currency'!L20</f>
        <v>7.0090957731407152E-2</v>
      </c>
      <c r="X11" s="230">
        <f>+'CIS Constant Currency'!M12</f>
        <v>8.0363912054586845E-2</v>
      </c>
      <c r="Y11" s="230">
        <f>+'CIS Constant Currency'!M20</f>
        <v>8.0108010801080085E-2</v>
      </c>
      <c r="Z11" s="230">
        <f>+'CIS Constant Currency'!N12</f>
        <v>1.3932179203124362E-2</v>
      </c>
      <c r="AA11" s="230">
        <f>+'CIS Constant Currency'!N20</f>
        <v>1.3703773230711411E-2</v>
      </c>
      <c r="AB11" s="230">
        <f>+'CIS Constant Currency'!O12</f>
        <v>9.5447153101379398E-2</v>
      </c>
      <c r="AC11" s="230">
        <f>+'CIS Constant Currency'!O20</f>
        <v>0.13566579458750092</v>
      </c>
      <c r="AD11" s="34"/>
      <c r="AE11" s="230">
        <f>+'CIS Constant Currency'!Q12</f>
        <v>6.3682510383018059E-2</v>
      </c>
      <c r="AF11" s="230">
        <f>+'CIS Constant Currency'!Q20</f>
        <v>7.6649613950796919E-2</v>
      </c>
      <c r="AH11" s="230">
        <f>+'CIS Constant Currency'!S12</f>
        <v>-4.774231722199624E-2</v>
      </c>
      <c r="AI11" s="230">
        <f>+'CIS Constant Currency'!S20</f>
        <v>-3.9624714888587202E-2</v>
      </c>
      <c r="AJ11" s="230">
        <f>+'CIS Constant Currency'!T12</f>
        <v>-6.0858163003127519E-2</v>
      </c>
      <c r="AK11" s="230">
        <f>+'CIS Constant Currency'!T20</f>
        <v>-4.3341925540113208E-2</v>
      </c>
      <c r="AL11" s="230">
        <f>+'CIS Constant Currency'!U12</f>
        <v>4.7404400968849097E-2</v>
      </c>
      <c r="AM11" s="230">
        <f>+'CIS Constant Currency'!U20</f>
        <v>5.6756225977499533E-2</v>
      </c>
      <c r="AN11" s="230">
        <f>+'CIS Constant Currency'!V12</f>
        <v>-4.7582175074528499E-2</v>
      </c>
      <c r="AO11" s="230">
        <f>+'CIS Constant Currency'!V20</f>
        <v>-7.9449451381568184E-2</v>
      </c>
      <c r="AP11" s="34"/>
      <c r="AQ11" s="230">
        <f>+'CIS Constant Currency'!X12</f>
        <v>-2.867806146892762E-2</v>
      </c>
      <c r="AR11" s="230">
        <f>+'CIS Constant Currency'!X20</f>
        <v>-3.2014813630441417E-2</v>
      </c>
      <c r="AT11" s="379"/>
    </row>
    <row r="12" spans="1:46" s="34" customFormat="1" ht="19.5" customHeight="1" thickBot="1" x14ac:dyDescent="0.25">
      <c r="A12" s="350"/>
      <c r="B12" s="205" t="s">
        <v>298</v>
      </c>
      <c r="D12" s="230"/>
      <c r="E12" s="230"/>
      <c r="G12" s="230">
        <f>+(G19-D19)/D19</f>
        <v>0.11221995823191942</v>
      </c>
      <c r="H12" s="230">
        <f>+(H19-E19)/E19</f>
        <v>0.10196565894564975</v>
      </c>
      <c r="I12" s="24"/>
      <c r="J12" s="21"/>
      <c r="K12" s="21"/>
      <c r="L12" s="21"/>
      <c r="M12" s="21"/>
      <c r="N12" s="21"/>
      <c r="O12" s="21"/>
      <c r="P12" s="21"/>
      <c r="Q12" s="21"/>
      <c r="R12" s="24"/>
      <c r="S12" s="230">
        <f>+(S19-G19)/G19</f>
        <v>0.18499584258472415</v>
      </c>
      <c r="T12" s="230">
        <f>+(T19-H19)/H19</f>
        <v>0.13255410672345988</v>
      </c>
      <c r="V12" s="230">
        <f t="shared" ref="V12:AA12" si="7">+(V19-J19)/J19</f>
        <v>0.2216210462826631</v>
      </c>
      <c r="W12" s="230">
        <f t="shared" si="7"/>
        <v>0.18194117352307473</v>
      </c>
      <c r="X12" s="230">
        <f t="shared" si="7"/>
        <v>0.18320833739164327</v>
      </c>
      <c r="Y12" s="230">
        <f t="shared" si="7"/>
        <v>0.16486902927580913</v>
      </c>
      <c r="Z12" s="230">
        <f t="shared" si="7"/>
        <v>7.4980679147674242E-2</v>
      </c>
      <c r="AA12" s="230">
        <f t="shared" si="7"/>
        <v>6.2439518916178716E-2</v>
      </c>
      <c r="AB12" s="230">
        <f t="shared" ref="AB12" si="8">+(AB19-P19)/P19</f>
        <v>7.0213229731635879E-2</v>
      </c>
      <c r="AC12" s="230">
        <f t="shared" ref="AC12" si="9">+(AC19-Q19)/Q19</f>
        <v>0.12212809891654552</v>
      </c>
      <c r="AD12" s="232"/>
      <c r="AE12" s="230">
        <f>+(AE19-S19)/S19</f>
        <v>0.1310630390278319</v>
      </c>
      <c r="AF12" s="230">
        <f>+(AF19-T19)/T19</f>
        <v>0.13079801842581545</v>
      </c>
      <c r="AH12" s="230">
        <f t="shared" ref="AH12:AK12" si="10">+(AH19-V19)/V19</f>
        <v>-2.2508131970260387E-3</v>
      </c>
      <c r="AI12" s="230">
        <f t="shared" si="10"/>
        <v>1.8794867446723694E-3</v>
      </c>
      <c r="AJ12" s="230">
        <f t="shared" si="10"/>
        <v>5.913181868071331E-3</v>
      </c>
      <c r="AK12" s="230">
        <f t="shared" si="10"/>
        <v>1.4833711262282357E-2</v>
      </c>
      <c r="AL12" s="230">
        <f>+(AL19-Z19)/Z19</f>
        <v>0.20719808677025106</v>
      </c>
      <c r="AM12" s="230">
        <f>+(AM19-AA19)/AA19</f>
        <v>0.21297420772611605</v>
      </c>
      <c r="AN12" s="230">
        <f>+(AN19-AB19)/AB19</f>
        <v>4.862999748403557E-2</v>
      </c>
      <c r="AO12" s="230">
        <f>+(AO19-AC19)/AC19</f>
        <v>-1.7027125896529341E-2</v>
      </c>
      <c r="AP12" s="232"/>
      <c r="AQ12" s="230">
        <f>+(AQ19-AE19)/AE19</f>
        <v>6.2919686134422295E-2</v>
      </c>
      <c r="AR12" s="230">
        <f>+(AR19-AF19)/AF19</f>
        <v>4.7266608385862767E-2</v>
      </c>
      <c r="AT12" s="380"/>
    </row>
    <row r="13" spans="1:46" ht="17.25" thickBot="1" x14ac:dyDescent="0.25">
      <c r="A13" s="27"/>
      <c r="B13" s="199"/>
      <c r="D13" s="28"/>
      <c r="E13" s="28"/>
      <c r="G13" s="28"/>
      <c r="H13" s="28"/>
      <c r="J13" s="28"/>
      <c r="K13" s="28"/>
      <c r="L13" s="28"/>
      <c r="M13" s="28"/>
      <c r="N13" s="28"/>
      <c r="O13" s="28"/>
      <c r="P13" s="28"/>
      <c r="Q13" s="28"/>
      <c r="S13" s="28"/>
      <c r="T13" s="28"/>
      <c r="V13" s="28"/>
      <c r="W13" s="28"/>
      <c r="X13" s="28"/>
      <c r="Y13" s="28"/>
      <c r="Z13" s="28"/>
      <c r="AA13" s="28"/>
      <c r="AB13" s="28"/>
      <c r="AC13" s="28"/>
      <c r="AE13" s="28"/>
      <c r="AF13" s="28"/>
      <c r="AH13" s="28"/>
      <c r="AI13" s="28"/>
      <c r="AJ13" s="28"/>
      <c r="AK13" s="28"/>
      <c r="AL13" s="28"/>
      <c r="AM13" s="28"/>
      <c r="AN13" s="28"/>
      <c r="AO13" s="28"/>
      <c r="AQ13" s="28"/>
      <c r="AR13" s="28"/>
      <c r="AT13" s="29"/>
    </row>
    <row r="14" spans="1:46" ht="18" customHeight="1" thickBot="1" x14ac:dyDescent="0.25">
      <c r="A14" s="348" t="s">
        <v>94</v>
      </c>
      <c r="B14" s="205" t="s">
        <v>221</v>
      </c>
      <c r="D14" s="21">
        <f>+'CIS Operating Expenses'!B10</f>
        <v>72.846999999999994</v>
      </c>
      <c r="E14" s="21">
        <f>+'CIS Operating Expenses'!B18</f>
        <v>68.333999999999989</v>
      </c>
      <c r="G14" s="21">
        <f>+'CIS Operating Expenses'!C10</f>
        <v>85.4</v>
      </c>
      <c r="H14" s="21">
        <f>+'CIS Operating Expenses'!C18</f>
        <v>80.5</v>
      </c>
      <c r="J14" s="21">
        <f>+'CIS Operating Expenses'!E10</f>
        <v>23.400000000000002</v>
      </c>
      <c r="K14" s="21">
        <f>+'CIS Operating Expenses'!E18</f>
        <v>22.900000000000002</v>
      </c>
      <c r="L14" s="21">
        <f>+'CIS Operating Expenses'!F10</f>
        <v>23.2</v>
      </c>
      <c r="M14" s="21">
        <f>+'CIS Operating Expenses'!F18</f>
        <v>22.2</v>
      </c>
      <c r="N14" s="21">
        <f>+'CIS Operating Expenses'!G10</f>
        <v>21.781999999999996</v>
      </c>
      <c r="O14" s="21">
        <f>+'CIS Operating Expenses'!G18</f>
        <v>20.781999999999996</v>
      </c>
      <c r="P14" s="21">
        <f>+'CIS Operating Expenses'!H10</f>
        <v>23.9</v>
      </c>
      <c r="Q14" s="21">
        <f>+'CIS Operating Expenses'!H18</f>
        <v>22.9</v>
      </c>
      <c r="S14" s="21">
        <f>+'CIS Operating Expenses'!J10</f>
        <v>92.5</v>
      </c>
      <c r="T14" s="21">
        <f>+'CIS Operating Expenses'!J18</f>
        <v>88.8</v>
      </c>
      <c r="V14" s="21">
        <f>+'CIS Operating Expenses'!L10</f>
        <v>24.999999999999996</v>
      </c>
      <c r="W14" s="21">
        <f>+'CIS Operating Expenses'!L18</f>
        <v>23.899999999999995</v>
      </c>
      <c r="X14" s="21">
        <f>+'CIS Operating Expenses'!M10</f>
        <v>25.7</v>
      </c>
      <c r="Y14" s="21">
        <f>+'CIS Operating Expenses'!M18</f>
        <v>24.4</v>
      </c>
      <c r="Z14" s="21">
        <f>+'CIS Operating Expenses'!N10</f>
        <v>26.208000000000002</v>
      </c>
      <c r="AA14" s="21">
        <f>+'CIS Operating Expenses'!N18</f>
        <v>25.017000000000003</v>
      </c>
      <c r="AB14" s="21">
        <f>+'CIS Operating Expenses'!O10</f>
        <v>27.738999999999997</v>
      </c>
      <c r="AC14" s="21">
        <f>+'CIS Operating Expenses'!O18</f>
        <v>25.919999999999998</v>
      </c>
      <c r="AE14" s="21">
        <f>+'CIS Operating Expenses'!Q10</f>
        <v>104.61799999999999</v>
      </c>
      <c r="AF14" s="21">
        <f>+'CIS Operating Expenses'!Q18</f>
        <v>99.197999999999993</v>
      </c>
      <c r="AH14" s="21">
        <f>+'CIS Operating Expenses'!S10</f>
        <v>28.96</v>
      </c>
      <c r="AI14" s="21">
        <f>+'CIS Operating Expenses'!S18</f>
        <v>27.73</v>
      </c>
      <c r="AJ14" s="21">
        <f>+'CIS Operating Expenses'!T10</f>
        <v>26.692</v>
      </c>
      <c r="AK14" s="21">
        <f>+'CIS Operating Expenses'!T18</f>
        <v>25.494</v>
      </c>
      <c r="AL14" s="21">
        <f>+'CIS Operating Expenses'!U10</f>
        <v>29.733000000000001</v>
      </c>
      <c r="AM14" s="21">
        <f>+'CIS Operating Expenses'!U18</f>
        <v>28.617000000000001</v>
      </c>
      <c r="AN14" s="21">
        <f>+'CIS Operating Expenses'!V10</f>
        <v>33.808</v>
      </c>
      <c r="AO14" s="21">
        <f>+'CIS Operating Expenses'!V18</f>
        <v>33.156999999999996</v>
      </c>
      <c r="AQ14" s="21">
        <f>+'CIS Operating Expenses'!X10</f>
        <v>119.193</v>
      </c>
      <c r="AR14" s="21">
        <f>+'CIS Operating Expenses'!X18</f>
        <v>114.998</v>
      </c>
      <c r="AT14" s="328" t="s">
        <v>214</v>
      </c>
    </row>
    <row r="15" spans="1:46" s="34" customFormat="1" ht="18" customHeight="1" thickBot="1" x14ac:dyDescent="0.25">
      <c r="A15" s="349"/>
      <c r="B15" s="206" t="s">
        <v>92</v>
      </c>
      <c r="D15" s="22">
        <f>+'CIS Operating Expenses'!B11</f>
        <v>0.20499999999999999</v>
      </c>
      <c r="E15" s="22">
        <f>+'CIS Operating Expenses'!B19</f>
        <v>0.192</v>
      </c>
      <c r="G15" s="22">
        <f>+'CIS Operating Expenses'!C11</f>
        <v>0.216</v>
      </c>
      <c r="H15" s="22">
        <f>+'CIS Operating Expenses'!C19</f>
        <v>0.20399999999999999</v>
      </c>
      <c r="J15" s="22">
        <f>+'CIS Operating Expenses'!E11</f>
        <v>0.22800000000000001</v>
      </c>
      <c r="K15" s="22">
        <f>+'CIS Operating Expenses'!E19</f>
        <v>0.223</v>
      </c>
      <c r="L15" s="22">
        <f>+'CIS Operating Expenses'!F11</f>
        <v>0.22</v>
      </c>
      <c r="M15" s="22">
        <f>+'CIS Operating Expenses'!F19</f>
        <v>0.21</v>
      </c>
      <c r="N15" s="22">
        <f>+'CIS Operating Expenses'!G11</f>
        <v>0.20499999999999999</v>
      </c>
      <c r="O15" s="22">
        <f>+'CIS Operating Expenses'!G19</f>
        <v>0.19500000000000001</v>
      </c>
      <c r="P15" s="22">
        <f>+'CIS Operating Expenses'!H11</f>
        <v>0.20100000000000001</v>
      </c>
      <c r="Q15" s="22">
        <f>+'CIS Operating Expenses'!H19</f>
        <v>0.192</v>
      </c>
      <c r="S15" s="22">
        <f>+'CIS Operating Expenses'!J11</f>
        <v>0.21299999999999999</v>
      </c>
      <c r="T15" s="22">
        <f>+'CIS Operating Expenses'!J19</f>
        <v>0.20499999999999999</v>
      </c>
      <c r="V15" s="22">
        <f>+'CIS Operating Expenses'!L11</f>
        <v>0.23100000000000001</v>
      </c>
      <c r="W15" s="22">
        <f>+'CIS Operating Expenses'!L19</f>
        <v>0.22</v>
      </c>
      <c r="X15" s="22">
        <f>+'CIS Operating Expenses'!M11</f>
        <v>0.22800000000000001</v>
      </c>
      <c r="Y15" s="22">
        <f>+'CIS Operating Expenses'!M19</f>
        <v>0.216</v>
      </c>
      <c r="Z15" s="22">
        <f>+'CIS Operating Expenses'!N11</f>
        <v>0.245</v>
      </c>
      <c r="AA15" s="22">
        <f>+'CIS Operating Expenses'!N19</f>
        <v>0.23400000000000001</v>
      </c>
      <c r="AB15" s="22">
        <f>+'CIS Operating Expenses'!O11</f>
        <v>0.215</v>
      </c>
      <c r="AC15" s="22">
        <f>+'CIS Operating Expenses'!O19</f>
        <v>0.192</v>
      </c>
      <c r="AE15" s="22">
        <f>+'CIS Operating Expenses'!Q11</f>
        <v>0.22900000000000001</v>
      </c>
      <c r="AF15" s="22">
        <f>+'CIS Operating Expenses'!Q19</f>
        <v>0.214</v>
      </c>
      <c r="AH15" s="22">
        <f>+'CIS Operating Expenses'!S11</f>
        <v>0.28599999999999998</v>
      </c>
      <c r="AI15" s="22">
        <f>+'CIS Operating Expenses'!S19</f>
        <v>0.27</v>
      </c>
      <c r="AJ15" s="22">
        <f>+'CIS Operating Expenses'!T11</f>
        <v>0.254</v>
      </c>
      <c r="AK15" s="22">
        <f>+'CIS Operating Expenses'!T19</f>
        <v>0.24</v>
      </c>
      <c r="AL15" s="22">
        <f>+'CIS Operating Expenses'!U11</f>
        <v>0.26300000000000001</v>
      </c>
      <c r="AM15" s="22">
        <f>+'CIS Operating Expenses'!U19</f>
        <v>0.252</v>
      </c>
      <c r="AN15" s="22">
        <f>+'CIS Operating Expenses'!V11</f>
        <v>0.27300000000000002</v>
      </c>
      <c r="AO15" s="22">
        <f>+'CIS Operating Expenses'!V19</f>
        <v>0.26600000000000001</v>
      </c>
      <c r="AQ15" s="22">
        <f>+'CIS Operating Expenses'!X11</f>
        <v>0.26900000000000002</v>
      </c>
      <c r="AR15" s="22">
        <f>+'CIS Operating Expenses'!X19</f>
        <v>0.25700000000000001</v>
      </c>
      <c r="AT15" s="376"/>
    </row>
    <row r="16" spans="1:46" ht="18" customHeight="1" thickBot="1" x14ac:dyDescent="0.25">
      <c r="A16" s="349"/>
      <c r="B16" s="205" t="s">
        <v>222</v>
      </c>
      <c r="D16" s="21">
        <f>+'CIS Operating Expenses'!B26</f>
        <v>134.83100000000002</v>
      </c>
      <c r="E16" s="21">
        <f>+'CIS Operating Expenses'!B35</f>
        <v>111.34800000000001</v>
      </c>
      <c r="G16" s="21">
        <f>+'CIS Operating Expenses'!C26</f>
        <v>138.00399999999999</v>
      </c>
      <c r="H16" s="21">
        <f>+'CIS Operating Expenses'!C35</f>
        <v>115.67599999999999</v>
      </c>
      <c r="J16" s="21">
        <f>+'CIS Operating Expenses'!E26</f>
        <v>36.284999999999997</v>
      </c>
      <c r="K16" s="21">
        <f>+'CIS Operating Expenses'!E35</f>
        <v>30.232999999999997</v>
      </c>
      <c r="L16" s="21">
        <f>+'CIS Operating Expenses'!F26</f>
        <v>35.229999999999997</v>
      </c>
      <c r="M16" s="21">
        <f>+'CIS Operating Expenses'!F35</f>
        <v>30.639999999999997</v>
      </c>
      <c r="N16" s="21">
        <f>+'CIS Operating Expenses'!G26</f>
        <v>33.44</v>
      </c>
      <c r="O16" s="21">
        <f>+'CIS Operating Expenses'!G35</f>
        <v>28.767999999999997</v>
      </c>
      <c r="P16" s="21">
        <f>+'CIS Operating Expenses'!H26</f>
        <v>39.637</v>
      </c>
      <c r="Q16" s="21">
        <f>+'CIS Operating Expenses'!H35</f>
        <v>33.314999999999998</v>
      </c>
      <c r="S16" s="21">
        <f>+'CIS Operating Expenses'!J26</f>
        <v>145.14099999999999</v>
      </c>
      <c r="T16" s="21">
        <f>+'CIS Operating Expenses'!J35</f>
        <v>123.30099999999999</v>
      </c>
      <c r="V16" s="21">
        <f>+'CIS Operating Expenses'!L26</f>
        <v>41.645000000000003</v>
      </c>
      <c r="W16" s="21">
        <f>+'CIS Operating Expenses'!L35</f>
        <v>34.883000000000003</v>
      </c>
      <c r="X16" s="21">
        <f>+'CIS Operating Expenses'!M26</f>
        <v>41.816000000000003</v>
      </c>
      <c r="Y16" s="21">
        <f>+'CIS Operating Expenses'!M35</f>
        <v>33.585000000000001</v>
      </c>
      <c r="Z16" s="21">
        <f>+'CIS Operating Expenses'!N26</f>
        <v>38.464000000000006</v>
      </c>
      <c r="AA16" s="21">
        <f>+'CIS Operating Expenses'!N35</f>
        <v>31.933000000000007</v>
      </c>
      <c r="AB16" s="21">
        <f>+'CIS Operating Expenses'!O26</f>
        <v>45.384</v>
      </c>
      <c r="AC16" s="21">
        <f>+'CIS Operating Expenses'!O35</f>
        <v>35.832000000000001</v>
      </c>
      <c r="AE16" s="21">
        <f>+'CIS Operating Expenses'!Q26</f>
        <v>167.309</v>
      </c>
      <c r="AF16" s="21">
        <f>+'CIS Operating Expenses'!Q35</f>
        <v>136.25800000000001</v>
      </c>
      <c r="AH16" s="21">
        <f>+'CIS Operating Expenses'!S26</f>
        <v>39.388999999999996</v>
      </c>
      <c r="AI16" s="21">
        <f>+'CIS Operating Expenses'!S35</f>
        <v>33.198999999999998</v>
      </c>
      <c r="AJ16" s="21">
        <f>+'CIS Operating Expenses'!T26</f>
        <v>35.358000000000004</v>
      </c>
      <c r="AK16" s="21">
        <f>+'CIS Operating Expenses'!T35</f>
        <v>28.143000000000004</v>
      </c>
      <c r="AL16" s="21">
        <f>+'CIS Operating Expenses'!U26</f>
        <v>41.414000000000001</v>
      </c>
      <c r="AM16" s="21">
        <f>+'CIS Operating Expenses'!U35</f>
        <v>31.806000000000001</v>
      </c>
      <c r="AN16" s="21">
        <f>+'CIS Operating Expenses'!V26</f>
        <v>48.521000000000001</v>
      </c>
      <c r="AO16" s="21">
        <f>+'CIS Operating Expenses'!V35</f>
        <v>35.230000000000004</v>
      </c>
      <c r="AQ16" s="21">
        <f>+'CIS Operating Expenses'!X26</f>
        <v>164.68200000000002</v>
      </c>
      <c r="AR16" s="21">
        <f>+'CIS Operating Expenses'!X35</f>
        <v>128.37800000000001</v>
      </c>
      <c r="AT16" s="376"/>
    </row>
    <row r="17" spans="1:46" s="34" customFormat="1" ht="18" customHeight="1" thickBot="1" x14ac:dyDescent="0.25">
      <c r="A17" s="350"/>
      <c r="B17" s="206" t="s">
        <v>92</v>
      </c>
      <c r="D17" s="22">
        <f>+'CIS Operating Expenses'!B27</f>
        <v>0.379</v>
      </c>
      <c r="E17" s="22">
        <f>+'CIS Operating Expenses'!B36</f>
        <v>0.312</v>
      </c>
      <c r="G17" s="22">
        <f>+'CIS Operating Expenses'!C27</f>
        <v>0.34899999999999998</v>
      </c>
      <c r="H17" s="22">
        <f>+'CIS Operating Expenses'!C36</f>
        <v>0.29199999999999998</v>
      </c>
      <c r="J17" s="22">
        <f>+'CIS Operating Expenses'!E27</f>
        <v>0.35299999999999998</v>
      </c>
      <c r="K17" s="22">
        <f>+'CIS Operating Expenses'!E36</f>
        <v>0.29399999999999998</v>
      </c>
      <c r="L17" s="22">
        <f>+'CIS Operating Expenses'!F27</f>
        <v>0.33400000000000002</v>
      </c>
      <c r="M17" s="22">
        <f>+'CIS Operating Expenses'!F36</f>
        <v>0.28999999999999998</v>
      </c>
      <c r="N17" s="22">
        <f>+'CIS Operating Expenses'!G27</f>
        <v>0.314</v>
      </c>
      <c r="O17" s="22">
        <f>+'CIS Operating Expenses'!G36</f>
        <v>0.27</v>
      </c>
      <c r="P17" s="22">
        <f>+'CIS Operating Expenses'!H27</f>
        <v>0.33400000000000002</v>
      </c>
      <c r="Q17" s="22">
        <f>+'CIS Operating Expenses'!H36</f>
        <v>0.28000000000000003</v>
      </c>
      <c r="S17" s="22">
        <f>+'CIS Operating Expenses'!J27</f>
        <v>0.33500000000000002</v>
      </c>
      <c r="T17" s="22">
        <f>+'CIS Operating Expenses'!J36</f>
        <v>0.28399999999999997</v>
      </c>
      <c r="V17" s="22">
        <f>+'CIS Operating Expenses'!L27</f>
        <v>0.38500000000000001</v>
      </c>
      <c r="W17" s="22">
        <f>+'CIS Operating Expenses'!L36</f>
        <v>0.32200000000000001</v>
      </c>
      <c r="X17" s="22">
        <f>+'CIS Operating Expenses'!M27</f>
        <v>0.371</v>
      </c>
      <c r="Y17" s="22">
        <f>+'CIS Operating Expenses'!M36</f>
        <v>0.29799999999999999</v>
      </c>
      <c r="Z17" s="22">
        <f>+'CIS Operating Expenses'!N27</f>
        <v>0.36</v>
      </c>
      <c r="AA17" s="22">
        <f>+'CIS Operating Expenses'!N36</f>
        <v>0.29899999999999999</v>
      </c>
      <c r="AB17" s="22">
        <f>+'CIS Operating Expenses'!O27</f>
        <v>0.35099999999999998</v>
      </c>
      <c r="AC17" s="22">
        <f>+'CIS Operating Expenses'!O36</f>
        <v>0.26600000000000001</v>
      </c>
      <c r="AE17" s="22">
        <f>+'CIS Operating Expenses'!Q27</f>
        <v>0.36599999999999999</v>
      </c>
      <c r="AF17" s="22">
        <f>+'CIS Operating Expenses'!Q36</f>
        <v>0.29399999999999998</v>
      </c>
      <c r="AH17" s="22">
        <f>+'CIS Operating Expenses'!S27</f>
        <v>0.38800000000000001</v>
      </c>
      <c r="AI17" s="22">
        <f>+'CIS Operating Expenses'!S36</f>
        <v>0.32400000000000001</v>
      </c>
      <c r="AJ17" s="22">
        <f>+'CIS Operating Expenses'!T27</f>
        <v>0.33700000000000002</v>
      </c>
      <c r="AK17" s="22">
        <f>+'CIS Operating Expenses'!T36</f>
        <v>0.26500000000000001</v>
      </c>
      <c r="AL17" s="22">
        <f>+'CIS Operating Expenses'!U27</f>
        <v>0.36699999999999999</v>
      </c>
      <c r="AM17" s="22">
        <f>+'CIS Operating Expenses'!U36</f>
        <v>0.28000000000000003</v>
      </c>
      <c r="AN17" s="22">
        <f>+'CIS Operating Expenses'!V27</f>
        <v>0.39100000000000001</v>
      </c>
      <c r="AO17" s="22">
        <f>+'CIS Operating Expenses'!V36</f>
        <v>0.28299999999999997</v>
      </c>
      <c r="AQ17" s="22">
        <f>+'CIS Operating Expenses'!X27</f>
        <v>0.371</v>
      </c>
      <c r="AR17" s="22">
        <f>+'CIS Operating Expenses'!X36</f>
        <v>0.28699999999999998</v>
      </c>
      <c r="AT17" s="377"/>
    </row>
    <row r="18" spans="1:46" ht="25.15" customHeight="1" thickBot="1" x14ac:dyDescent="0.3">
      <c r="B18" s="25"/>
    </row>
    <row r="19" spans="1:46" ht="17.25" thickBot="1" x14ac:dyDescent="0.25">
      <c r="A19" s="348" t="s">
        <v>95</v>
      </c>
      <c r="B19" s="205" t="s">
        <v>223</v>
      </c>
      <c r="D19" s="21">
        <f>+'CIS Gross Profit'!B15</f>
        <v>196.80100000000004</v>
      </c>
      <c r="E19" s="21">
        <f>+'CIS Gross Profit'!B24</f>
        <v>215.60200000000003</v>
      </c>
      <c r="G19" s="21">
        <f>+'CIS Gross Profit'!C15</f>
        <v>218.88600000000002</v>
      </c>
      <c r="H19" s="21">
        <f>+'CIS Gross Profit'!C24</f>
        <v>237.58600000000001</v>
      </c>
      <c r="J19" s="21">
        <f>+'CIS Gross Profit'!E15</f>
        <v>56.371000000000002</v>
      </c>
      <c r="K19" s="21">
        <f>+'CIS Gross Profit'!E24</f>
        <v>59.871000000000002</v>
      </c>
      <c r="L19" s="21">
        <f>+'CIS Gross Profit'!F15</f>
        <v>61.601999999999997</v>
      </c>
      <c r="M19" s="21">
        <f>+'CIS Gross Profit'!F24</f>
        <v>63.601999999999997</v>
      </c>
      <c r="N19" s="21">
        <f>+'CIS Gross Profit'!G15</f>
        <v>63.403000000000006</v>
      </c>
      <c r="O19" s="21">
        <f>+'CIS Gross Profit'!G24</f>
        <v>65.103000000000009</v>
      </c>
      <c r="P19" s="21">
        <f>+'CIS Gross Profit'!H15</f>
        <v>77.991</v>
      </c>
      <c r="Q19" s="21">
        <f>+'CIS Gross Profit'!H24</f>
        <v>80.391000000000005</v>
      </c>
      <c r="S19" s="21">
        <f>+'CIS Gross Profit'!J15</f>
        <v>259.37899999999996</v>
      </c>
      <c r="T19" s="21">
        <f>+'CIS Gross Profit'!J24</f>
        <v>269.07899999999995</v>
      </c>
      <c r="V19" s="21">
        <f>+'CIS Gross Profit'!L15</f>
        <v>68.864000000000004</v>
      </c>
      <c r="W19" s="21">
        <f>+'CIS Gross Profit'!L24</f>
        <v>70.76400000000001</v>
      </c>
      <c r="X19" s="21">
        <f>+'CIS Gross Profit'!M15</f>
        <v>72.888000000000005</v>
      </c>
      <c r="Y19" s="21">
        <f>+'CIS Gross Profit'!M24</f>
        <v>74.088000000000008</v>
      </c>
      <c r="Z19" s="21">
        <f>+'CIS Gross Profit'!N15</f>
        <v>68.156999999999996</v>
      </c>
      <c r="AA19" s="21">
        <f>+'CIS Gross Profit'!N24</f>
        <v>69.167999999999992</v>
      </c>
      <c r="AB19" s="21">
        <f>+'CIS Gross Profit'!O15</f>
        <v>83.467000000000013</v>
      </c>
      <c r="AC19" s="21">
        <f>+'CIS Gross Profit'!O24</f>
        <v>90.209000000000017</v>
      </c>
      <c r="AE19" s="21">
        <f>+'CIS Gross Profit'!Q15</f>
        <v>293.37399999999997</v>
      </c>
      <c r="AF19" s="21">
        <f>+'CIS Gross Profit'!Q24</f>
        <v>304.27399999999994</v>
      </c>
      <c r="AH19" s="21">
        <f>+'CIS Gross Profit'!S15</f>
        <v>68.709000000000003</v>
      </c>
      <c r="AI19" s="21">
        <f>+'CIS Gross Profit'!S24</f>
        <v>70.897000000000006</v>
      </c>
      <c r="AJ19" s="21">
        <f>+'CIS Gross Profit'!T15</f>
        <v>73.318999999999988</v>
      </c>
      <c r="AK19" s="21">
        <f>+'CIS Gross Profit'!T24</f>
        <v>75.186999999999983</v>
      </c>
      <c r="AL19" s="21">
        <f>+'CIS Gross Profit'!U15</f>
        <v>82.278999999999996</v>
      </c>
      <c r="AM19" s="21">
        <f>+'CIS Gross Profit'!U24</f>
        <v>83.898999999999987</v>
      </c>
      <c r="AN19" s="21">
        <f>+'CIS Gross Profit'!V15</f>
        <v>87.52600000000001</v>
      </c>
      <c r="AO19" s="21">
        <f>+'CIS Gross Profit'!V24</f>
        <v>88.673000000000002</v>
      </c>
      <c r="AQ19" s="21">
        <f>+'CIS Gross Profit'!X15</f>
        <v>311.83299999999997</v>
      </c>
      <c r="AR19" s="21">
        <f>+'CIS Gross Profit'!X24</f>
        <v>318.65599999999995</v>
      </c>
      <c r="AT19" s="328" t="s">
        <v>165</v>
      </c>
    </row>
    <row r="20" spans="1:46" s="34" customFormat="1" ht="15.75" customHeight="1" thickBot="1" x14ac:dyDescent="0.25">
      <c r="A20" s="349"/>
      <c r="B20" s="206" t="s">
        <v>224</v>
      </c>
      <c r="D20" s="23">
        <f>+'CIS Gross Profit'!B16</f>
        <v>0.55200000000000005</v>
      </c>
      <c r="E20" s="23">
        <f>+'CIS Gross Profit'!B25</f>
        <v>0.60499999999999998</v>
      </c>
      <c r="G20" s="22">
        <f>+'CIS Gross Profit'!C16</f>
        <v>0.55403695267021003</v>
      </c>
      <c r="H20" s="22">
        <f>+'CIS Gross Profit'!C25</f>
        <v>0.60075853350189634</v>
      </c>
      <c r="J20" s="22">
        <f>+'CIS Gross Profit'!E16</f>
        <v>0.54917234664070103</v>
      </c>
      <c r="K20" s="22">
        <f>+'CIS Gross Profit'!E25</f>
        <v>0.58268482490272377</v>
      </c>
      <c r="L20" s="22">
        <f>+'CIS Gross Profit'!F16</f>
        <v>0.58388625592417065</v>
      </c>
      <c r="M20" s="22">
        <f>+'CIS Gross Profit'!F25</f>
        <v>0.6028436018957346</v>
      </c>
      <c r="N20" s="22">
        <f>+'CIS Gross Profit'!G16</f>
        <v>0.59630516431924896</v>
      </c>
      <c r="O20" s="22">
        <f>+'CIS Gross Profit'!G25</f>
        <v>0.61126760563380289</v>
      </c>
      <c r="P20" s="22">
        <f>+'CIS Gross Profit'!H16</f>
        <v>0.65711878685762426</v>
      </c>
      <c r="Q20" s="22">
        <f>+'CIS Gross Profit'!H25</f>
        <v>0.67619848612279232</v>
      </c>
      <c r="S20" s="22">
        <f>+'CIS Gross Profit'!J16</f>
        <v>0.59852330410706045</v>
      </c>
      <c r="T20" s="22">
        <f>+'CIS Gross Profit'!J25</f>
        <v>0.6203319502074689</v>
      </c>
      <c r="V20" s="22">
        <f>+'CIS Gross Profit'!L16</f>
        <v>0.63678373382624776</v>
      </c>
      <c r="W20" s="22">
        <f>+'CIS Gross Profit'!L25</f>
        <v>0.65373961218836574</v>
      </c>
      <c r="X20" s="22">
        <f>+'CIS Gross Profit'!M16</f>
        <v>0.64570416297608502</v>
      </c>
      <c r="Y20" s="22">
        <f>+'CIS Gross Profit'!M25</f>
        <v>0.65633303808680254</v>
      </c>
      <c r="Z20" s="22">
        <f>+'CIS Gross Profit'!N16</f>
        <v>0.63700000000000001</v>
      </c>
      <c r="AA20" s="22">
        <f>+'CIS Gross Profit'!N25</f>
        <v>0.64700000000000002</v>
      </c>
      <c r="AB20" s="22">
        <f>+'CIS Gross Profit'!O16</f>
        <v>0.64600000000000002</v>
      </c>
      <c r="AC20" s="22">
        <f>+'CIS Gross Profit'!O25</f>
        <v>0.67</v>
      </c>
      <c r="AE20" s="22">
        <f>+'CIS Gross Profit'!Q16</f>
        <v>0.64200000000000002</v>
      </c>
      <c r="AF20" s="22">
        <f>+'CIS Gross Profit'!Q25</f>
        <v>0.65700000000000003</v>
      </c>
      <c r="AH20" s="22">
        <f>+'CIS Gross Profit'!S16</f>
        <v>0.67700000000000005</v>
      </c>
      <c r="AI20" s="22">
        <f>+'CIS Gross Profit'!S25</f>
        <v>0.69199999999999995</v>
      </c>
      <c r="AJ20" s="22">
        <f>+'CIS Gross Profit'!T16</f>
        <v>0.69799999999999995</v>
      </c>
      <c r="AK20" s="22">
        <f>+'CIS Gross Profit'!T25</f>
        <v>0.70799999999999996</v>
      </c>
      <c r="AL20" s="22">
        <f>+'CIS Gross Profit'!U16</f>
        <v>0.72799999999999998</v>
      </c>
      <c r="AM20" s="22">
        <f>+'CIS Gross Profit'!U25</f>
        <v>0.73799999999999999</v>
      </c>
      <c r="AN20" s="22">
        <f>+'CIS Gross Profit'!V16</f>
        <v>0.70599999999999996</v>
      </c>
      <c r="AO20" s="22">
        <f>+'CIS Gross Profit'!V25</f>
        <v>0.71199999999999997</v>
      </c>
      <c r="AQ20" s="22">
        <f>+'CIS Gross Profit'!X16</f>
        <v>0.70299999999999996</v>
      </c>
      <c r="AR20" s="22">
        <f>+'CIS Gross Profit'!X25</f>
        <v>0.71299999999999997</v>
      </c>
      <c r="AT20" s="330"/>
    </row>
    <row r="21" spans="1:46" ht="17.25" thickBot="1" x14ac:dyDescent="0.25">
      <c r="A21" s="349"/>
      <c r="B21" s="205" t="s">
        <v>103</v>
      </c>
      <c r="D21" s="132">
        <f>+'CIS Operating &amp; EBITDA Margins'!B6</f>
        <v>-12.429</v>
      </c>
      <c r="E21" s="132">
        <f>+'CIS Operating &amp; EBITDA Margins'!B18</f>
        <v>35.91899999999999</v>
      </c>
      <c r="G21" s="132">
        <f>+'CIS Operating &amp; EBITDA Margins'!C6</f>
        <v>-5.4</v>
      </c>
      <c r="H21" s="132">
        <f>+'CIS Operating &amp; EBITDA Margins'!C18</f>
        <v>41.33400000000001</v>
      </c>
      <c r="J21" s="132">
        <f>+'CIS Operating &amp; EBITDA Margins'!E6</f>
        <v>-3.5</v>
      </c>
      <c r="K21" s="132">
        <f>+'CIS Operating &amp; EBITDA Margins'!E18</f>
        <v>6.8130000000000006</v>
      </c>
      <c r="L21" s="132">
        <f>+'CIS Operating &amp; EBITDA Margins'!F6</f>
        <v>3</v>
      </c>
      <c r="M21" s="132">
        <f>+'CIS Operating &amp; EBITDA Margins'!F18</f>
        <v>10.816000000000001</v>
      </c>
      <c r="N21" s="132">
        <f>+'CIS Operating &amp; EBITDA Margins'!G6</f>
        <v>8.1</v>
      </c>
      <c r="O21" s="132">
        <f>+'CIS Operating &amp; EBITDA Margins'!G18</f>
        <v>15.625999999999999</v>
      </c>
      <c r="P21" s="132">
        <f>+'CIS Operating &amp; EBITDA Margins'!H6</f>
        <v>14.3</v>
      </c>
      <c r="Q21" s="132">
        <f>+'CIS Operating &amp; EBITDA Margins'!H18</f>
        <v>24.203000000000003</v>
      </c>
      <c r="S21" s="132">
        <f>+'CIS Operating &amp; EBITDA Margins'!J6</f>
        <v>21.1</v>
      </c>
      <c r="T21" s="132">
        <f>+'CIS Operating &amp; EBITDA Margins'!J18</f>
        <v>56.957999999999991</v>
      </c>
      <c r="V21" s="132">
        <f>+'CIS Operating &amp; EBITDA Margins'!L6</f>
        <v>2.1</v>
      </c>
      <c r="W21" s="132">
        <f>+'CIS Operating &amp; EBITDA Margins'!L18</f>
        <v>12.081</v>
      </c>
      <c r="X21" s="132">
        <f>+'CIS Operating &amp; EBITDA Margins'!M6</f>
        <v>5.2539999999999996</v>
      </c>
      <c r="Y21" s="132">
        <f>+'CIS Operating &amp; EBITDA Margins'!M18</f>
        <v>16.148</v>
      </c>
      <c r="Z21" s="132">
        <f>+'CIS Operating &amp; EBITDA Margins'!N6</f>
        <v>3.3580000000000001</v>
      </c>
      <c r="AA21" s="132">
        <f>+'CIS Operating &amp; EBITDA Margins'!N18</f>
        <v>12.218000000000002</v>
      </c>
      <c r="AB21" s="132">
        <f>+'CIS Operating &amp; EBITDA Margins'!O6</f>
        <v>10.131</v>
      </c>
      <c r="AC21" s="132">
        <f>+'CIS Operating &amp; EBITDA Margins'!O18</f>
        <v>28.457000000000001</v>
      </c>
      <c r="AE21" s="132">
        <f>+'CIS Operating &amp; EBITDA Margins'!Q6</f>
        <v>20.852</v>
      </c>
      <c r="AF21" s="132">
        <f>+'CIS Operating &amp; EBITDA Margins'!Q18</f>
        <v>68.817999999999998</v>
      </c>
      <c r="AH21" s="132">
        <f>+'CIS Operating &amp; EBITDA Margins'!S6</f>
        <v>5.8999999999999997E-2</v>
      </c>
      <c r="AI21" s="132">
        <f>+'CIS Operating &amp; EBITDA Margins'!S18</f>
        <v>9.9679999999999982</v>
      </c>
      <c r="AJ21" s="132">
        <f>+'CIS Operating &amp; EBITDA Margins'!T6</f>
        <v>10.93</v>
      </c>
      <c r="AK21" s="132">
        <f>+'CIS Operating &amp; EBITDA Margins'!T18</f>
        <v>21.549999999999997</v>
      </c>
      <c r="AL21" s="132">
        <f>+'CIS Operating &amp; EBITDA Margins'!U6</f>
        <v>10.859</v>
      </c>
      <c r="AM21" s="132">
        <f>+'CIS Operating &amp; EBITDA Margins'!U18</f>
        <v>23.475999999999996</v>
      </c>
      <c r="AN21" s="132">
        <f>+'CIS Operating &amp; EBITDA Margins'!V6</f>
        <v>4.891</v>
      </c>
      <c r="AO21" s="132">
        <f>+'CIS Operating &amp; EBITDA Margins'!V18</f>
        <v>20.286999999999995</v>
      </c>
      <c r="AQ21" s="132">
        <f>+'CIS Operating &amp; EBITDA Margins'!X6</f>
        <v>26.738999999999997</v>
      </c>
      <c r="AR21" s="132">
        <f>+'CIS Operating &amp; EBITDA Margins'!X18</f>
        <v>75.281000000000006</v>
      </c>
      <c r="AT21" s="328" t="s">
        <v>215</v>
      </c>
    </row>
    <row r="22" spans="1:46" s="34" customFormat="1" ht="15.75" customHeight="1" thickBot="1" x14ac:dyDescent="0.25">
      <c r="A22" s="349"/>
      <c r="B22" s="206" t="s">
        <v>104</v>
      </c>
      <c r="D22" s="22">
        <f>+'CIS Operating &amp; EBITDA Margins'!B7</f>
        <v>-3.5000000000000003E-2</v>
      </c>
      <c r="E22" s="22">
        <f>+'CIS Operating &amp; EBITDA Margins'!B21</f>
        <v>0.10100000000000001</v>
      </c>
      <c r="G22" s="22">
        <f>+'CIS Operating &amp; EBITDA Margins'!C7</f>
        <v>-1.4E-2</v>
      </c>
      <c r="H22" s="22">
        <f>+'CIS Operating &amp; EBITDA Margins'!C21</f>
        <v>0.105</v>
      </c>
      <c r="J22" s="22">
        <f>+'CIS Operating &amp; EBITDA Margins'!E7</f>
        <v>-3.4000000000000002E-2</v>
      </c>
      <c r="K22" s="22">
        <f>+'CIS Operating &amp; EBITDA Margins'!E21</f>
        <v>6.6147859922178975E-2</v>
      </c>
      <c r="L22" s="22">
        <f>+'CIS Operating &amp; EBITDA Margins'!F7</f>
        <v>2.8000000000000001E-2</v>
      </c>
      <c r="M22" s="22">
        <f>+'CIS Operating &amp; EBITDA Margins'!F21</f>
        <v>0.1033696682464455</v>
      </c>
      <c r="N22" s="22">
        <f>+'CIS Operating &amp; EBITDA Margins'!G7</f>
        <v>7.5999999999999998E-2</v>
      </c>
      <c r="O22" s="22">
        <f>+'CIS Operating &amp; EBITDA Margins'!G21</f>
        <v>0.14647887323943662</v>
      </c>
      <c r="P22" s="22">
        <f>+'CIS Operating &amp; EBITDA Margins'!H7</f>
        <v>0.12</v>
      </c>
      <c r="Q22" s="22">
        <f>+'CIS Operating &amp; EBITDA Margins'!H21</f>
        <v>0.20437342304457526</v>
      </c>
      <c r="S22" s="22">
        <f>+'CIS Operating &amp; EBITDA Margins'!J7</f>
        <v>4.9000000000000002E-2</v>
      </c>
      <c r="T22" s="22">
        <f>+'CIS Operating &amp; EBITDA Margins'!J21</f>
        <v>0.13139695712309821</v>
      </c>
      <c r="V22" s="22">
        <f>+'CIS Operating &amp; EBITDA Margins'!L7</f>
        <v>0.02</v>
      </c>
      <c r="W22" s="22">
        <f>+'CIS Operating &amp; EBITDA Margins'!L21</f>
        <v>0.11072668513388736</v>
      </c>
      <c r="X22" s="22">
        <f>+'CIS Operating &amp; EBITDA Margins'!M7</f>
        <v>4.7E-2</v>
      </c>
      <c r="Y22" s="22">
        <f>+'CIS Operating &amp; EBITDA Margins'!M21</f>
        <v>0.14260407440212577</v>
      </c>
      <c r="Z22" s="22">
        <f>+'CIS Operating &amp; EBITDA Margins'!N7</f>
        <v>3.1E-2</v>
      </c>
      <c r="AA22" s="22">
        <f>+'CIS Operating &amp; EBITDA Margins'!N21</f>
        <v>0.114</v>
      </c>
      <c r="AB22" s="22">
        <f>+'CIS Operating &amp; EBITDA Margins'!O7</f>
        <v>7.8E-2</v>
      </c>
      <c r="AC22" s="22">
        <f>+'CIS Operating &amp; EBITDA Margins'!O21</f>
        <v>0.21099999999999999</v>
      </c>
      <c r="AE22" s="22">
        <f>+'CIS Operating &amp; EBITDA Margins'!Q7</f>
        <v>4.5999999999999999E-2</v>
      </c>
      <c r="AF22" s="22">
        <f>+'CIS Operating &amp; EBITDA Margins'!Q21</f>
        <v>0.14899999999999999</v>
      </c>
      <c r="AH22" s="22">
        <f>+'CIS Operating &amp; EBITDA Margins'!S7</f>
        <v>1E-3</v>
      </c>
      <c r="AI22" s="22">
        <f>+'CIS Operating &amp; EBITDA Margins'!S21</f>
        <v>9.7000000000000003E-2</v>
      </c>
      <c r="AJ22" s="22">
        <f>+'CIS Operating &amp; EBITDA Margins'!T7</f>
        <v>0.104</v>
      </c>
      <c r="AK22" s="22">
        <f>+'CIS Operating &amp; EBITDA Margins'!T21</f>
        <v>0.20300000000000001</v>
      </c>
      <c r="AL22" s="22">
        <f>+'CIS Operating &amp; EBITDA Margins'!U7</f>
        <v>9.6000000000000002E-2</v>
      </c>
      <c r="AM22" s="22">
        <f>+'CIS Operating &amp; EBITDA Margins'!U21</f>
        <v>0.20699999999999999</v>
      </c>
      <c r="AN22" s="22">
        <f>+'CIS Operating &amp; EBITDA Margins'!V7</f>
        <v>3.9E-2</v>
      </c>
      <c r="AO22" s="22">
        <f>+'CIS Operating &amp; EBITDA Margins'!V21</f>
        <v>0.16300000000000001</v>
      </c>
      <c r="AQ22" s="22">
        <f>+'CIS Operating &amp; EBITDA Margins'!X7</f>
        <v>0.06</v>
      </c>
      <c r="AR22" s="22">
        <f>+'CIS Operating &amp; EBITDA Margins'!X21</f>
        <v>0.16800000000000001</v>
      </c>
      <c r="AT22" s="329"/>
    </row>
    <row r="23" spans="1:46" ht="16.899999999999999" customHeight="1" thickBot="1" x14ac:dyDescent="0.25">
      <c r="A23" s="349"/>
      <c r="B23" s="205" t="s">
        <v>208</v>
      </c>
      <c r="D23" s="20"/>
      <c r="E23" s="21">
        <f>+'CIS Operating &amp; EBITDA Margins'!B20</f>
        <v>45.49499999999999</v>
      </c>
      <c r="G23" s="20"/>
      <c r="H23" s="21">
        <f>+'CIS Operating &amp; EBITDA Margins'!C20</f>
        <v>51.83400000000001</v>
      </c>
      <c r="J23" s="20"/>
      <c r="K23" s="21">
        <f>+'CIS Operating &amp; EBITDA Margins'!E20</f>
        <v>9.6129999999999995</v>
      </c>
      <c r="L23" s="20"/>
      <c r="M23" s="21">
        <f>+'CIS Operating &amp; EBITDA Margins'!F20</f>
        <v>13.316000000000001</v>
      </c>
      <c r="N23" s="20"/>
      <c r="O23" s="21">
        <f>+'CIS Operating &amp; EBITDA Margins'!G20</f>
        <v>18.026</v>
      </c>
      <c r="P23" s="20"/>
      <c r="Q23" s="21">
        <f>+'CIS Operating &amp; EBITDA Margins'!H20</f>
        <v>26.703000000000003</v>
      </c>
      <c r="S23" s="20"/>
      <c r="T23" s="21">
        <f>+'CIS Operating &amp; EBITDA Margins'!J20</f>
        <v>67.35799999999999</v>
      </c>
      <c r="V23" s="20"/>
      <c r="W23" s="21">
        <f>+'CIS Operating &amp; EBITDA Margins'!L20</f>
        <v>14.780999999999999</v>
      </c>
      <c r="X23" s="20"/>
      <c r="Y23" s="21">
        <f>+'CIS Operating &amp; EBITDA Margins'!M20</f>
        <v>18.948</v>
      </c>
      <c r="Z23" s="20"/>
      <c r="AA23" s="21">
        <f>+'CIS Operating &amp; EBITDA Margins'!N20</f>
        <v>15.237000000000002</v>
      </c>
      <c r="AB23" s="20"/>
      <c r="AC23" s="21">
        <f>+'CIS Operating &amp; EBITDA Margins'!O20</f>
        <v>31.554000000000002</v>
      </c>
      <c r="AE23" s="20"/>
      <c r="AF23" s="21">
        <f>+'CIS Operating &amp; EBITDA Margins'!Q20</f>
        <v>80.42</v>
      </c>
      <c r="AH23" s="20"/>
      <c r="AI23" s="21">
        <f>+'CIS Operating &amp; EBITDA Margins'!S20</f>
        <v>13.620999999999999</v>
      </c>
      <c r="AJ23" s="20"/>
      <c r="AK23" s="21">
        <f>+'CIS Operating &amp; EBITDA Margins'!T20</f>
        <v>25.228999999999996</v>
      </c>
      <c r="AL23" s="20"/>
      <c r="AM23" s="21">
        <f>+'CIS Operating &amp; EBITDA Margins'!U20</f>
        <v>27.025999999999996</v>
      </c>
      <c r="AN23" s="20"/>
      <c r="AO23" s="21">
        <f>+'CIS Operating &amp; EBITDA Margins'!V20</f>
        <v>23.823999999999995</v>
      </c>
      <c r="AQ23" s="20"/>
      <c r="AR23" s="21">
        <f>+'CIS Operating &amp; EBITDA Margins'!X20</f>
        <v>89.7</v>
      </c>
      <c r="AT23" s="329"/>
    </row>
    <row r="24" spans="1:46" s="34" customFormat="1" ht="15.75" customHeight="1" thickBot="1" x14ac:dyDescent="0.25">
      <c r="A24" s="350"/>
      <c r="B24" s="206" t="s">
        <v>209</v>
      </c>
      <c r="D24" s="35"/>
      <c r="E24" s="22">
        <f>+'CIS Operating &amp; EBITDA Margins'!B22</f>
        <v>0.128</v>
      </c>
      <c r="G24" s="35"/>
      <c r="H24" s="22">
        <f>+'CIS Operating &amp; EBITDA Margins'!C22</f>
        <v>0.13100000000000001</v>
      </c>
      <c r="J24" s="35"/>
      <c r="K24" s="22">
        <f>+'CIS Operating &amp; EBITDA Margins'!E22</f>
        <v>9.3385214007782089E-2</v>
      </c>
      <c r="L24" s="35"/>
      <c r="M24" s="22">
        <f>+'CIS Operating &amp; EBITDA Margins'!F22</f>
        <v>0.12606635071090047</v>
      </c>
      <c r="N24" s="35"/>
      <c r="O24" s="22">
        <f>+'CIS Operating &amp; EBITDA Margins'!G22</f>
        <v>0.16901408450704225</v>
      </c>
      <c r="P24" s="35"/>
      <c r="Q24" s="22">
        <f>+'CIS Operating &amp; EBITDA Margins'!H22</f>
        <v>0.22539949537426407</v>
      </c>
      <c r="S24" s="35"/>
      <c r="T24" s="22">
        <f>+'CIS Operating &amp; EBITDA Margins'!J22</f>
        <v>0.1553711387736284</v>
      </c>
      <c r="V24" s="35"/>
      <c r="W24" s="22">
        <f>+'CIS Operating &amp; EBITDA Margins'!L22</f>
        <v>0.13565743305632502</v>
      </c>
      <c r="X24" s="35"/>
      <c r="Y24" s="22">
        <f>+'CIS Operating &amp; EBITDA Margins'!M22</f>
        <v>0.16740478299379982</v>
      </c>
      <c r="Z24" s="35"/>
      <c r="AA24" s="22">
        <f>+'CIS Operating &amp; EBITDA Margins'!N22</f>
        <v>0.14199999999999999</v>
      </c>
      <c r="AB24" s="35"/>
      <c r="AC24" s="22">
        <f>+'CIS Operating &amp; EBITDA Margins'!O22</f>
        <v>0.23400000000000001</v>
      </c>
      <c r="AE24" s="35"/>
      <c r="AF24" s="22">
        <f>+'CIS Operating &amp; EBITDA Margins'!Q22</f>
        <v>0.17399999999999999</v>
      </c>
      <c r="AH24" s="35"/>
      <c r="AI24" s="22">
        <f>+'CIS Operating &amp; EBITDA Margins'!S22</f>
        <v>0.13300000000000001</v>
      </c>
      <c r="AJ24" s="35"/>
      <c r="AK24" s="22">
        <f>+'CIS Operating &amp; EBITDA Margins'!T22</f>
        <v>0.23699999999999999</v>
      </c>
      <c r="AL24" s="35"/>
      <c r="AM24" s="22">
        <f>+'CIS Operating &amp; EBITDA Margins'!U22</f>
        <v>0.23799999999999999</v>
      </c>
      <c r="AN24" s="35"/>
      <c r="AO24" s="22">
        <f>+'CIS Operating &amp; EBITDA Margins'!V22</f>
        <v>0.191</v>
      </c>
      <c r="AQ24" s="35"/>
      <c r="AR24" s="22">
        <f>+'CIS Operating &amp; EBITDA Margins'!X22</f>
        <v>0.20100000000000001</v>
      </c>
      <c r="AT24" s="330"/>
    </row>
    <row r="26" spans="1:46" ht="200.1" customHeight="1" outlineLevel="1" x14ac:dyDescent="0.25">
      <c r="B26" s="221" t="s">
        <v>233</v>
      </c>
    </row>
    <row r="28" spans="1:46" x14ac:dyDescent="0.2">
      <c r="T28" s="225"/>
    </row>
    <row r="29" spans="1:46" x14ac:dyDescent="0.2">
      <c r="AJ29" s="293"/>
      <c r="AK29" s="293"/>
      <c r="AL29" s="293"/>
      <c r="AM29" s="293"/>
      <c r="AN29" s="293"/>
      <c r="AO29" s="293"/>
    </row>
    <row r="31" spans="1:46" x14ac:dyDescent="0.2">
      <c r="AJ31" s="293"/>
      <c r="AK31" s="293"/>
      <c r="AL31" s="293"/>
      <c r="AM31" s="293"/>
      <c r="AN31" s="293"/>
      <c r="AO31" s="293"/>
    </row>
  </sheetData>
  <mergeCells count="38">
    <mergeCell ref="A3:B3"/>
    <mergeCell ref="D3:E3"/>
    <mergeCell ref="A19:A24"/>
    <mergeCell ref="X4:Y4"/>
    <mergeCell ref="A5:B5"/>
    <mergeCell ref="A6:A8"/>
    <mergeCell ref="A10:A12"/>
    <mergeCell ref="A14:A17"/>
    <mergeCell ref="A4:B4"/>
    <mergeCell ref="D4:E4"/>
    <mergeCell ref="S4:T4"/>
    <mergeCell ref="V4:W4"/>
    <mergeCell ref="J3:Q3"/>
    <mergeCell ref="S3:T3"/>
    <mergeCell ref="G3:H3"/>
    <mergeCell ref="G4:H4"/>
    <mergeCell ref="J4:K4"/>
    <mergeCell ref="L4:M4"/>
    <mergeCell ref="N4:O4"/>
    <mergeCell ref="P4:Q4"/>
    <mergeCell ref="AT19:AT20"/>
    <mergeCell ref="AJ4:AK4"/>
    <mergeCell ref="AQ4:AR4"/>
    <mergeCell ref="AL4:AM4"/>
    <mergeCell ref="AN4:AO4"/>
    <mergeCell ref="AT21:AT24"/>
    <mergeCell ref="AE3:AF3"/>
    <mergeCell ref="Z4:AA4"/>
    <mergeCell ref="AE4:AF4"/>
    <mergeCell ref="AT14:AT17"/>
    <mergeCell ref="AT10:AT12"/>
    <mergeCell ref="AT6:AT8"/>
    <mergeCell ref="AT3:AT5"/>
    <mergeCell ref="AB4:AC4"/>
    <mergeCell ref="V3:AC3"/>
    <mergeCell ref="AH4:AI4"/>
    <mergeCell ref="AQ3:AR3"/>
    <mergeCell ref="AH3:AO3"/>
  </mergeCells>
  <pageMargins left="0.25" right="0.25" top="0.75" bottom="0.75" header="0.3" footer="0.3"/>
  <pageSetup scale="27" orientation="landscape" r:id="rId1"/>
  <customProperties>
    <customPr name="Gu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1B65A9"/>
    <pageSetUpPr fitToPage="1"/>
  </sheetPr>
  <dimension ref="A1:Y108"/>
  <sheetViews>
    <sheetView zoomScale="65" zoomScaleNormal="65" zoomScaleSheetLayoutView="90" workbookViewId="0">
      <pane xSplit="1" ySplit="4" topLeftCell="B5" activePane="bottomRight" state="frozen"/>
      <selection activeCell="B2" sqref="B2"/>
      <selection pane="topRight" activeCell="B2" sqref="B2"/>
      <selection pane="bottomLeft" activeCell="B2" sqref="B2"/>
      <selection pane="bottomRight" activeCell="J17" sqref="J17"/>
    </sheetView>
  </sheetViews>
  <sheetFormatPr defaultColWidth="9.140625" defaultRowHeight="11.25" outlineLevelCol="2" x14ac:dyDescent="0.2"/>
  <cols>
    <col min="1" max="1" width="51.42578125" style="4" bestFit="1" customWidth="1"/>
    <col min="2" max="3" width="20.7109375" style="4" customWidth="1" outlineLevel="1"/>
    <col min="4" max="4" width="1.7109375" style="3" hidden="1" customWidth="1" outlineLevel="2"/>
    <col min="5" max="8" width="20.7109375" style="3" hidden="1" customWidth="1" outlineLevel="2"/>
    <col min="9" max="9" width="1" style="3" hidden="1" customWidth="1" outlineLevel="2"/>
    <col min="10" max="10" width="20.7109375" style="4" customWidth="1" outlineLevel="1" collapsed="1"/>
    <col min="11" max="11" width="1" style="8" customWidth="1"/>
    <col min="12" max="14" width="20.7109375" style="4" customWidth="1" outlineLevel="1"/>
    <col min="15" max="15" width="21" style="4" customWidth="1" outlineLevel="1"/>
    <col min="16" max="16" width="1" style="8" customWidth="1"/>
    <col min="17" max="17" width="20.7109375" style="3" customWidth="1"/>
    <col min="18" max="18" width="1.28515625" style="3" customWidth="1"/>
    <col min="19" max="19" width="20.7109375" style="4" customWidth="1"/>
    <col min="20" max="20" width="21" style="4" customWidth="1"/>
    <col min="21" max="22" width="21.28515625" style="4" customWidth="1"/>
    <col min="23" max="23" width="1" style="8" customWidth="1"/>
    <col min="24" max="24" width="20.7109375" style="3" customWidth="1"/>
    <col min="25" max="25" width="1.28515625" style="3" customWidth="1"/>
    <col min="26" max="16384" width="9.140625" style="3"/>
  </cols>
  <sheetData>
    <row r="1" spans="1:25" ht="18" x14ac:dyDescent="0.25">
      <c r="A1" s="198" t="s">
        <v>179</v>
      </c>
      <c r="B1" s="3"/>
      <c r="C1" s="3"/>
      <c r="J1" s="3"/>
      <c r="L1" s="3"/>
      <c r="M1" s="3"/>
      <c r="N1" s="3"/>
      <c r="O1" s="3"/>
      <c r="S1" s="3"/>
      <c r="T1" s="3"/>
      <c r="U1" s="3"/>
      <c r="V1" s="3"/>
    </row>
    <row r="2" spans="1:25" x14ac:dyDescent="0.2">
      <c r="A2" s="1"/>
      <c r="B2" s="1"/>
      <c r="C2" s="1"/>
      <c r="D2" s="1"/>
      <c r="J2" s="3"/>
      <c r="L2" s="3"/>
      <c r="M2" s="3"/>
      <c r="N2" s="3"/>
      <c r="O2" s="3"/>
      <c r="S2" s="3"/>
      <c r="T2" s="3"/>
      <c r="U2" s="3"/>
      <c r="V2" s="3"/>
    </row>
    <row r="3" spans="1:25" s="24" customFormat="1" ht="30" customHeight="1" x14ac:dyDescent="0.25">
      <c r="A3" s="78"/>
      <c r="B3" s="196" t="s">
        <v>31</v>
      </c>
      <c r="C3" s="196" t="s">
        <v>31</v>
      </c>
      <c r="D3" s="79"/>
      <c r="E3" s="354" t="s">
        <v>1</v>
      </c>
      <c r="F3" s="354"/>
      <c r="G3" s="354"/>
      <c r="H3" s="354"/>
      <c r="I3" s="80"/>
      <c r="J3" s="196" t="s">
        <v>31</v>
      </c>
      <c r="K3" s="82"/>
      <c r="L3" s="354" t="s">
        <v>1</v>
      </c>
      <c r="M3" s="354"/>
      <c r="N3" s="354"/>
      <c r="O3" s="354"/>
      <c r="P3" s="82"/>
      <c r="Q3" s="262" t="s">
        <v>31</v>
      </c>
      <c r="S3" s="354" t="s">
        <v>1</v>
      </c>
      <c r="T3" s="354"/>
      <c r="U3" s="354"/>
      <c r="V3" s="354"/>
      <c r="X3" s="303" t="s">
        <v>31</v>
      </c>
    </row>
    <row r="4" spans="1:25" s="24" customFormat="1" ht="30" customHeight="1" x14ac:dyDescent="0.25">
      <c r="A4" s="83" t="s">
        <v>0</v>
      </c>
      <c r="B4" s="84" t="s">
        <v>155</v>
      </c>
      <c r="C4" s="84" t="s">
        <v>159</v>
      </c>
      <c r="D4" s="133"/>
      <c r="E4" s="84" t="s">
        <v>156</v>
      </c>
      <c r="F4" s="84" t="s">
        <v>157</v>
      </c>
      <c r="G4" s="84" t="s">
        <v>158</v>
      </c>
      <c r="H4" s="84" t="s">
        <v>100</v>
      </c>
      <c r="I4" s="86"/>
      <c r="J4" s="84" t="s">
        <v>100</v>
      </c>
      <c r="K4" s="82"/>
      <c r="L4" s="84" t="s">
        <v>148</v>
      </c>
      <c r="M4" s="84" t="s">
        <v>149</v>
      </c>
      <c r="N4" s="84" t="s">
        <v>109</v>
      </c>
      <c r="O4" s="84" t="s">
        <v>314</v>
      </c>
      <c r="P4" s="82"/>
      <c r="Q4" s="84" t="s">
        <v>314</v>
      </c>
      <c r="S4" s="84" t="s">
        <v>327</v>
      </c>
      <c r="T4" s="84" t="s">
        <v>330</v>
      </c>
      <c r="U4" s="84" t="s">
        <v>338</v>
      </c>
      <c r="V4" s="84" t="s">
        <v>346</v>
      </c>
      <c r="X4" s="84" t="s">
        <v>346</v>
      </c>
    </row>
    <row r="5" spans="1:25" s="52" customFormat="1" ht="16.5" x14ac:dyDescent="0.25">
      <c r="A5" s="49"/>
      <c r="D5" s="51"/>
      <c r="K5" s="47"/>
      <c r="P5" s="47"/>
      <c r="W5" s="47"/>
    </row>
    <row r="6" spans="1:25" s="62" customFormat="1" ht="16.5" x14ac:dyDescent="0.25">
      <c r="A6" s="58" t="s">
        <v>40</v>
      </c>
      <c r="B6" s="134">
        <f>+B14-B10</f>
        <v>122.074</v>
      </c>
      <c r="C6" s="134">
        <f>+C14-C10</f>
        <v>130.60000000000002</v>
      </c>
      <c r="D6" s="60"/>
      <c r="E6" s="135">
        <v>36.1</v>
      </c>
      <c r="F6" s="134">
        <v>42.7</v>
      </c>
      <c r="G6" s="134">
        <v>40.348999999999997</v>
      </c>
      <c r="H6" s="134">
        <v>46</v>
      </c>
      <c r="I6" s="136"/>
      <c r="J6" s="134">
        <v>165.2</v>
      </c>
      <c r="K6" s="136"/>
      <c r="L6" s="134">
        <v>46.8</v>
      </c>
      <c r="M6" s="134">
        <v>46.2</v>
      </c>
      <c r="N6" s="134">
        <v>47.497999999999998</v>
      </c>
      <c r="O6" s="134">
        <v>52.091999999999999</v>
      </c>
      <c r="P6" s="57"/>
      <c r="Q6" s="134">
        <v>192.578</v>
      </c>
      <c r="R6" s="57"/>
      <c r="S6" s="134">
        <v>56.037999999999997</v>
      </c>
      <c r="T6" s="134">
        <v>51.651000000000003</v>
      </c>
      <c r="U6" s="134">
        <v>57.128</v>
      </c>
      <c r="V6" s="134">
        <v>58.588000000000001</v>
      </c>
      <c r="W6" s="57"/>
      <c r="X6" s="134">
        <f>+S6+T6+U6+V6</f>
        <v>223.405</v>
      </c>
      <c r="Y6" s="57"/>
    </row>
    <row r="7" spans="1:25" s="62" customFormat="1" ht="16.5" x14ac:dyDescent="0.25">
      <c r="A7" s="58" t="s">
        <v>46</v>
      </c>
      <c r="B7" s="137">
        <f t="shared" ref="B7:B8" si="0">+B15-B11</f>
        <v>234.102</v>
      </c>
      <c r="C7" s="138">
        <f>+C15-C11</f>
        <v>264.5</v>
      </c>
      <c r="D7" s="60"/>
      <c r="E7" s="139">
        <v>66.600999999999999</v>
      </c>
      <c r="F7" s="137">
        <v>62.780999999999999</v>
      </c>
      <c r="G7" s="137">
        <v>66.167000000000002</v>
      </c>
      <c r="H7" s="137">
        <v>72.7</v>
      </c>
      <c r="I7" s="140"/>
      <c r="J7" s="137">
        <v>268.2</v>
      </c>
      <c r="K7" s="141"/>
      <c r="L7" s="139">
        <v>61.4</v>
      </c>
      <c r="M7" s="137">
        <v>66.7</v>
      </c>
      <c r="N7" s="137">
        <v>59.433</v>
      </c>
      <c r="O7" s="137">
        <v>77.052999999999997</v>
      </c>
      <c r="P7" s="57"/>
      <c r="Q7" s="137">
        <v>264.53100000000001</v>
      </c>
      <c r="S7" s="137">
        <v>45.392000000000003</v>
      </c>
      <c r="T7" s="137">
        <v>53.378</v>
      </c>
      <c r="U7" s="137">
        <v>55.850999999999999</v>
      </c>
      <c r="V7" s="137">
        <v>65.432000000000002</v>
      </c>
      <c r="W7" s="57"/>
      <c r="X7" s="137">
        <f>+S7+T7+U7+V7</f>
        <v>220.053</v>
      </c>
    </row>
    <row r="8" spans="1:25" s="62" customFormat="1" ht="16.5" x14ac:dyDescent="0.25">
      <c r="A8" s="65" t="s">
        <v>65</v>
      </c>
      <c r="B8" s="142">
        <f t="shared" si="0"/>
        <v>356.17599999999999</v>
      </c>
      <c r="C8" s="143">
        <f>+C16-C12</f>
        <v>395.1</v>
      </c>
      <c r="D8" s="67"/>
      <c r="E8" s="142">
        <f>+E6+E7</f>
        <v>102.70099999999999</v>
      </c>
      <c r="F8" s="142">
        <f>+F6+F7</f>
        <v>105.48099999999999</v>
      </c>
      <c r="G8" s="142">
        <f>+G6+G7</f>
        <v>106.51599999999999</v>
      </c>
      <c r="H8" s="143">
        <f>+H6+H7</f>
        <v>118.7</v>
      </c>
      <c r="I8" s="144"/>
      <c r="J8" s="142">
        <f>+J6+J7</f>
        <v>433.4</v>
      </c>
      <c r="K8" s="145"/>
      <c r="L8" s="142">
        <f>+L6+L7</f>
        <v>108.19999999999999</v>
      </c>
      <c r="M8" s="142">
        <f>+M6+M7</f>
        <v>112.9</v>
      </c>
      <c r="N8" s="142">
        <f>+N6+N7</f>
        <v>106.931</v>
      </c>
      <c r="O8" s="142">
        <f>+O6+O7</f>
        <v>129.14499999999998</v>
      </c>
      <c r="P8" s="57"/>
      <c r="Q8" s="142">
        <f>+Q6+Q7</f>
        <v>457.10900000000004</v>
      </c>
      <c r="S8" s="142">
        <f>+S6+S7</f>
        <v>101.43</v>
      </c>
      <c r="T8" s="142">
        <f>+T6+T7</f>
        <v>105.029</v>
      </c>
      <c r="U8" s="142">
        <f>+U6+U7</f>
        <v>112.979</v>
      </c>
      <c r="V8" s="142">
        <f>+V6+V7</f>
        <v>124.02000000000001</v>
      </c>
      <c r="W8" s="57"/>
      <c r="X8" s="142">
        <f>+S8+T8+U8+V8</f>
        <v>443.45799999999997</v>
      </c>
    </row>
    <row r="9" spans="1:25" s="62" customFormat="1" ht="16.5" x14ac:dyDescent="0.25">
      <c r="A9" s="65"/>
      <c r="B9" s="96"/>
      <c r="C9" s="96"/>
      <c r="D9" s="67"/>
      <c r="E9" s="96"/>
      <c r="F9" s="96"/>
      <c r="G9" s="96"/>
      <c r="H9" s="96"/>
      <c r="I9" s="146"/>
      <c r="J9" s="96"/>
      <c r="K9" s="147"/>
      <c r="L9" s="96"/>
      <c r="M9" s="96"/>
      <c r="N9" s="96"/>
      <c r="O9" s="96"/>
      <c r="P9" s="57"/>
      <c r="Q9" s="96"/>
      <c r="S9" s="96"/>
      <c r="T9" s="96"/>
      <c r="U9" s="96"/>
      <c r="V9" s="96"/>
      <c r="W9" s="57"/>
      <c r="X9" s="96"/>
    </row>
    <row r="10" spans="1:25" s="62" customFormat="1" ht="16.5" x14ac:dyDescent="0.25">
      <c r="A10" s="58" t="s">
        <v>68</v>
      </c>
      <c r="B10" s="148">
        <v>0.126</v>
      </c>
      <c r="C10" s="148">
        <v>0.2</v>
      </c>
      <c r="D10" s="60"/>
      <c r="E10" s="148">
        <f>+E14-E6</f>
        <v>0.10000000000000142</v>
      </c>
      <c r="F10" s="77">
        <v>0</v>
      </c>
      <c r="G10" s="77">
        <v>0</v>
      </c>
      <c r="H10" s="148">
        <f>+H14-H6</f>
        <v>0.20000000000000284</v>
      </c>
      <c r="I10" s="47"/>
      <c r="J10" s="148">
        <f>+J14-J6</f>
        <v>0.40000000000000568</v>
      </c>
      <c r="K10" s="47"/>
      <c r="L10" s="148">
        <f>+L14-L6</f>
        <v>0.10000000000000142</v>
      </c>
      <c r="M10" s="77">
        <f>+M14-M6</f>
        <v>0</v>
      </c>
      <c r="N10" s="77">
        <f>+N14-N6</f>
        <v>0</v>
      </c>
      <c r="O10" s="77">
        <f>+O14-O6</f>
        <v>0.47100000000000364</v>
      </c>
      <c r="P10" s="57"/>
      <c r="Q10" s="77">
        <f>+Q14-Q6</f>
        <v>0.62199999999998568</v>
      </c>
      <c r="S10" s="77">
        <f t="shared" ref="S10:T12" si="1">+S14-S6</f>
        <v>1.0920000000000059</v>
      </c>
      <c r="T10" s="77">
        <f t="shared" si="1"/>
        <v>1.2379999999999995</v>
      </c>
      <c r="U10" s="77">
        <f t="shared" ref="U10:V10" si="2">+U14-U6</f>
        <v>0.69200000000000017</v>
      </c>
      <c r="V10" s="77">
        <f t="shared" si="2"/>
        <v>0.54699999999999704</v>
      </c>
      <c r="W10" s="57"/>
      <c r="X10" s="77">
        <f>+S10+T10+U10+V10</f>
        <v>3.5690000000000026</v>
      </c>
    </row>
    <row r="11" spans="1:25" s="62" customFormat="1" ht="16.5" x14ac:dyDescent="0.25">
      <c r="A11" s="58" t="s">
        <v>70</v>
      </c>
      <c r="B11" s="149">
        <v>0.19800000000000001</v>
      </c>
      <c r="C11" s="149">
        <v>0.2</v>
      </c>
      <c r="D11" s="60"/>
      <c r="E11" s="149">
        <v>0</v>
      </c>
      <c r="F11" s="64">
        <v>0</v>
      </c>
      <c r="G11" s="64">
        <v>0</v>
      </c>
      <c r="H11" s="149">
        <v>0</v>
      </c>
      <c r="I11" s="52"/>
      <c r="J11" s="149">
        <v>0</v>
      </c>
      <c r="K11" s="47"/>
      <c r="L11" s="149">
        <v>0</v>
      </c>
      <c r="M11" s="64">
        <v>0</v>
      </c>
      <c r="N11" s="64">
        <f>+N15-N7</f>
        <v>0</v>
      </c>
      <c r="O11" s="64">
        <f>+O15-O7</f>
        <v>5.0859999999999985</v>
      </c>
      <c r="P11" s="57"/>
      <c r="Q11" s="64">
        <f>+Q15-Q7</f>
        <v>5.0860000000000127</v>
      </c>
      <c r="S11" s="64">
        <f t="shared" si="1"/>
        <v>0</v>
      </c>
      <c r="T11" s="64">
        <f t="shared" si="1"/>
        <v>0</v>
      </c>
      <c r="U11" s="64">
        <f t="shared" ref="U11:V11" si="3">+U15-U7</f>
        <v>0</v>
      </c>
      <c r="V11" s="64">
        <f t="shared" si="3"/>
        <v>0</v>
      </c>
      <c r="W11" s="57"/>
      <c r="X11" s="64">
        <f>+S11+T11+U11+V11</f>
        <v>0</v>
      </c>
    </row>
    <row r="12" spans="1:25" s="62" customFormat="1" ht="16.5" x14ac:dyDescent="0.25">
      <c r="A12" s="65" t="s">
        <v>71</v>
      </c>
      <c r="B12" s="97">
        <f>SUM(B10:B11)</f>
        <v>0.32400000000000001</v>
      </c>
      <c r="C12" s="97">
        <f>SUM(C10:C11)</f>
        <v>0.4</v>
      </c>
      <c r="D12" s="67"/>
      <c r="E12" s="97">
        <f>+E10+E11</f>
        <v>0.10000000000000142</v>
      </c>
      <c r="F12" s="97">
        <v>0</v>
      </c>
      <c r="G12" s="97">
        <v>0</v>
      </c>
      <c r="H12" s="97">
        <f>+H10+H11</f>
        <v>0.20000000000000284</v>
      </c>
      <c r="J12" s="97">
        <f>+J16-J8</f>
        <v>0.39999999999997726</v>
      </c>
      <c r="K12" s="57"/>
      <c r="L12" s="97">
        <f>+L10+L11</f>
        <v>0.10000000000000142</v>
      </c>
      <c r="M12" s="97">
        <f>+M16-M8</f>
        <v>0</v>
      </c>
      <c r="N12" s="97">
        <f>+N16-N8</f>
        <v>0</v>
      </c>
      <c r="O12" s="97">
        <f>+O16-O8</f>
        <v>5.5570000000000164</v>
      </c>
      <c r="P12" s="57"/>
      <c r="Q12" s="97">
        <f>+Q16-Q8</f>
        <v>5.70799999999997</v>
      </c>
      <c r="S12" s="97">
        <f t="shared" si="1"/>
        <v>1.0919999999999987</v>
      </c>
      <c r="T12" s="97">
        <f t="shared" si="1"/>
        <v>1.2379999999999995</v>
      </c>
      <c r="U12" s="97">
        <f t="shared" ref="U12:V12" si="4">+U16-U8</f>
        <v>0.69199999999999307</v>
      </c>
      <c r="V12" s="97">
        <f t="shared" si="4"/>
        <v>0.54699999999999704</v>
      </c>
      <c r="W12" s="57"/>
      <c r="X12" s="97">
        <f>+S12+T12+U12+V12</f>
        <v>3.5689999999999884</v>
      </c>
    </row>
    <row r="13" spans="1:25" s="62" customFormat="1" ht="16.5" x14ac:dyDescent="0.25">
      <c r="A13" s="65"/>
      <c r="B13" s="68"/>
      <c r="C13" s="68"/>
      <c r="D13" s="67"/>
      <c r="E13" s="68"/>
      <c r="F13" s="68"/>
      <c r="G13" s="68"/>
      <c r="H13" s="68"/>
      <c r="J13" s="68"/>
      <c r="K13" s="57"/>
      <c r="L13" s="68"/>
      <c r="M13" s="68"/>
      <c r="N13" s="68"/>
      <c r="O13" s="68"/>
      <c r="P13" s="57"/>
      <c r="Q13" s="68"/>
      <c r="S13" s="68"/>
      <c r="T13" s="68"/>
      <c r="U13" s="68"/>
      <c r="V13" s="68"/>
      <c r="W13" s="57"/>
      <c r="X13" s="68"/>
    </row>
    <row r="14" spans="1:25" s="62" customFormat="1" ht="16.5" x14ac:dyDescent="0.25">
      <c r="A14" s="58" t="s">
        <v>41</v>
      </c>
      <c r="B14" s="148">
        <v>122.2</v>
      </c>
      <c r="C14" s="148">
        <v>130.80000000000001</v>
      </c>
      <c r="D14" s="60"/>
      <c r="E14" s="148">
        <v>36.200000000000003</v>
      </c>
      <c r="F14" s="77">
        <v>42.7</v>
      </c>
      <c r="G14" s="77">
        <v>40.299999999999997</v>
      </c>
      <c r="H14" s="148">
        <v>46.2</v>
      </c>
      <c r="I14" s="47"/>
      <c r="J14" s="148">
        <v>165.6</v>
      </c>
      <c r="K14" s="47"/>
      <c r="L14" s="148">
        <v>46.9</v>
      </c>
      <c r="M14" s="77">
        <v>46.2</v>
      </c>
      <c r="N14" s="77">
        <v>47.497999999999998</v>
      </c>
      <c r="O14" s="77">
        <v>52.563000000000002</v>
      </c>
      <c r="P14" s="150"/>
      <c r="Q14" s="77">
        <v>193.2</v>
      </c>
      <c r="S14" s="77">
        <v>57.13</v>
      </c>
      <c r="T14" s="77">
        <v>52.889000000000003</v>
      </c>
      <c r="U14" s="77">
        <v>57.82</v>
      </c>
      <c r="V14" s="77">
        <v>59.134999999999998</v>
      </c>
      <c r="W14" s="150"/>
      <c r="X14" s="77">
        <f>+S14+T14+U14+V14</f>
        <v>226.97399999999999</v>
      </c>
    </row>
    <row r="15" spans="1:25" s="62" customFormat="1" ht="16.5" x14ac:dyDescent="0.25">
      <c r="A15" s="60" t="s">
        <v>47</v>
      </c>
      <c r="B15" s="149">
        <v>234.3</v>
      </c>
      <c r="C15" s="149">
        <v>264.7</v>
      </c>
      <c r="D15" s="60"/>
      <c r="E15" s="149">
        <v>66.599999999999994</v>
      </c>
      <c r="F15" s="64">
        <v>62.8</v>
      </c>
      <c r="G15" s="64">
        <v>66.2</v>
      </c>
      <c r="H15" s="149">
        <v>72.7</v>
      </c>
      <c r="I15" s="52"/>
      <c r="J15" s="149">
        <v>268.2</v>
      </c>
      <c r="K15" s="47"/>
      <c r="L15" s="149">
        <v>61.4</v>
      </c>
      <c r="M15" s="64">
        <v>66.7</v>
      </c>
      <c r="N15" s="64">
        <v>59.433</v>
      </c>
      <c r="O15" s="64">
        <v>82.138999999999996</v>
      </c>
      <c r="P15" s="150"/>
      <c r="Q15" s="64">
        <v>269.61700000000002</v>
      </c>
      <c r="S15" s="64">
        <v>45.392000000000003</v>
      </c>
      <c r="T15" s="64">
        <v>53.378</v>
      </c>
      <c r="U15" s="64">
        <v>55.850999999999999</v>
      </c>
      <c r="V15" s="64">
        <v>65.432000000000002</v>
      </c>
      <c r="W15" s="150"/>
      <c r="X15" s="64">
        <f>+S15+T15+U15+V15</f>
        <v>220.053</v>
      </c>
    </row>
    <row r="16" spans="1:25" s="62" customFormat="1" ht="16.5" x14ac:dyDescent="0.25">
      <c r="A16" s="67" t="s">
        <v>66</v>
      </c>
      <c r="B16" s="92">
        <f>SUM(B14:B15)</f>
        <v>356.5</v>
      </c>
      <c r="C16" s="92">
        <f>SUM(C14:C15)</f>
        <v>395.5</v>
      </c>
      <c r="D16" s="67"/>
      <c r="E16" s="92">
        <f>+E14+E15</f>
        <v>102.8</v>
      </c>
      <c r="F16" s="92">
        <f>+F14+F15</f>
        <v>105.5</v>
      </c>
      <c r="G16" s="92">
        <f>+G14+G15</f>
        <v>106.5</v>
      </c>
      <c r="H16" s="92">
        <f>+H14+H15</f>
        <v>118.9</v>
      </c>
      <c r="I16" s="89"/>
      <c r="J16" s="92">
        <f>+J14+J15</f>
        <v>433.79999999999995</v>
      </c>
      <c r="K16" s="90"/>
      <c r="L16" s="92">
        <f>+L14+L15</f>
        <v>108.3</v>
      </c>
      <c r="M16" s="92">
        <f>+M14+M15</f>
        <v>112.9</v>
      </c>
      <c r="N16" s="92">
        <f>+N14+N15</f>
        <v>106.931</v>
      </c>
      <c r="O16" s="92">
        <f>+O14+O15</f>
        <v>134.702</v>
      </c>
      <c r="P16" s="90"/>
      <c r="Q16" s="92">
        <f>+Q14+Q15</f>
        <v>462.81700000000001</v>
      </c>
      <c r="S16" s="92">
        <f>+S14+S15</f>
        <v>102.52200000000001</v>
      </c>
      <c r="T16" s="92">
        <f>+T14+T15</f>
        <v>106.267</v>
      </c>
      <c r="U16" s="92">
        <f>+U14+U15</f>
        <v>113.67099999999999</v>
      </c>
      <c r="V16" s="92">
        <f>+V14+V15</f>
        <v>124.56700000000001</v>
      </c>
      <c r="W16" s="90"/>
      <c r="X16" s="92">
        <f>+S16+T16+U16+V16</f>
        <v>447.02699999999999</v>
      </c>
    </row>
    <row r="17" spans="1:22" s="8" customFormat="1" x14ac:dyDescent="0.2">
      <c r="B17" s="15"/>
      <c r="C17" s="15"/>
      <c r="E17" s="15"/>
      <c r="F17" s="16"/>
      <c r="G17" s="16"/>
      <c r="H17" s="16"/>
      <c r="J17" s="16"/>
      <c r="L17" s="16"/>
      <c r="M17" s="16"/>
      <c r="N17" s="16"/>
      <c r="O17" s="16"/>
      <c r="S17" s="16"/>
      <c r="T17" s="16"/>
      <c r="U17" s="16"/>
      <c r="V17" s="16"/>
    </row>
    <row r="18" spans="1:22" x14ac:dyDescent="0.2">
      <c r="A18" s="3"/>
      <c r="B18" s="3"/>
      <c r="C18" s="3"/>
      <c r="J18" s="3"/>
      <c r="L18" s="3"/>
      <c r="M18" s="3"/>
      <c r="N18" s="3"/>
      <c r="O18" s="3"/>
      <c r="S18" s="3"/>
      <c r="T18" s="3"/>
      <c r="U18" s="3"/>
      <c r="V18" s="3"/>
    </row>
    <row r="19" spans="1:22" x14ac:dyDescent="0.2">
      <c r="A19" s="3"/>
      <c r="B19" s="3"/>
      <c r="C19" s="3"/>
      <c r="J19" s="3"/>
      <c r="L19" s="3"/>
      <c r="M19" s="3"/>
      <c r="N19" s="3"/>
      <c r="O19" s="3"/>
      <c r="S19" s="3"/>
      <c r="T19" s="3"/>
      <c r="U19" s="3"/>
      <c r="V19" s="3"/>
    </row>
    <row r="20" spans="1:22" x14ac:dyDescent="0.2">
      <c r="A20" s="3"/>
      <c r="B20" s="3"/>
      <c r="C20" s="3"/>
      <c r="J20" s="3"/>
      <c r="L20" s="3"/>
      <c r="M20" s="3"/>
      <c r="N20" s="3"/>
      <c r="O20" s="3"/>
      <c r="S20" s="3"/>
      <c r="T20" s="3"/>
      <c r="U20" s="3"/>
      <c r="V20" s="3"/>
    </row>
    <row r="21" spans="1:22" x14ac:dyDescent="0.2">
      <c r="A21" s="3"/>
      <c r="B21" s="3"/>
      <c r="C21" s="3"/>
      <c r="J21" s="3"/>
      <c r="L21" s="3"/>
      <c r="M21" s="3"/>
      <c r="N21" s="3"/>
      <c r="O21" s="3"/>
      <c r="S21" s="3"/>
      <c r="T21" s="3"/>
      <c r="U21" s="3"/>
      <c r="V21" s="3"/>
    </row>
    <row r="22" spans="1:22" x14ac:dyDescent="0.2">
      <c r="A22" s="3"/>
      <c r="B22" s="3"/>
      <c r="C22" s="3"/>
      <c r="J22" s="3"/>
      <c r="L22" s="3"/>
      <c r="M22" s="3"/>
      <c r="N22" s="3"/>
      <c r="O22" s="3"/>
      <c r="S22" s="3"/>
      <c r="T22" s="3"/>
      <c r="U22" s="3"/>
      <c r="V22" s="3"/>
    </row>
    <row r="23" spans="1:22" x14ac:dyDescent="0.2">
      <c r="A23" s="3"/>
      <c r="B23" s="3"/>
      <c r="C23" s="3"/>
      <c r="J23" s="3"/>
      <c r="L23" s="3"/>
      <c r="M23" s="3"/>
      <c r="N23" s="3"/>
      <c r="O23" s="3"/>
      <c r="S23" s="3"/>
      <c r="T23" s="3"/>
      <c r="U23" s="3"/>
      <c r="V23" s="3"/>
    </row>
    <row r="24" spans="1:22" x14ac:dyDescent="0.2">
      <c r="A24" s="3"/>
      <c r="B24" s="3"/>
      <c r="C24" s="3"/>
      <c r="J24" s="3"/>
      <c r="L24" s="3"/>
      <c r="M24" s="3"/>
      <c r="N24" s="3"/>
      <c r="O24" s="3"/>
      <c r="S24" s="3"/>
      <c r="T24" s="3"/>
      <c r="U24" s="3"/>
      <c r="V24" s="3"/>
    </row>
    <row r="25" spans="1:22" x14ac:dyDescent="0.2">
      <c r="A25" s="3"/>
      <c r="B25" s="3"/>
      <c r="C25" s="3"/>
      <c r="J25" s="3"/>
      <c r="L25" s="3"/>
      <c r="M25" s="3"/>
      <c r="N25" s="3"/>
      <c r="O25" s="3"/>
      <c r="S25" s="3"/>
      <c r="T25" s="3"/>
      <c r="U25" s="3"/>
      <c r="V25" s="3"/>
    </row>
    <row r="26" spans="1:22" x14ac:dyDescent="0.2">
      <c r="A26" s="3"/>
      <c r="B26" s="3"/>
      <c r="C26" s="3"/>
      <c r="J26" s="3"/>
      <c r="L26" s="3"/>
      <c r="M26" s="3"/>
      <c r="N26" s="3"/>
      <c r="O26" s="3"/>
      <c r="S26" s="3"/>
      <c r="T26" s="3"/>
      <c r="U26" s="3"/>
      <c r="V26" s="3"/>
    </row>
    <row r="27" spans="1:22" x14ac:dyDescent="0.2">
      <c r="A27" s="3"/>
      <c r="B27" s="3"/>
      <c r="C27" s="3"/>
      <c r="J27" s="3"/>
      <c r="L27" s="3"/>
      <c r="M27" s="3"/>
      <c r="N27" s="3"/>
      <c r="O27" s="3"/>
      <c r="S27" s="3"/>
      <c r="T27" s="3"/>
      <c r="U27" s="3"/>
      <c r="V27" s="3"/>
    </row>
    <row r="28" spans="1:22" x14ac:dyDescent="0.2">
      <c r="A28" s="3"/>
      <c r="B28" s="3"/>
      <c r="C28" s="3"/>
      <c r="J28" s="3"/>
      <c r="L28" s="3"/>
      <c r="M28" s="3"/>
      <c r="N28" s="3"/>
      <c r="O28" s="3"/>
      <c r="S28" s="3"/>
      <c r="T28" s="3"/>
      <c r="U28" s="3"/>
      <c r="V28" s="3"/>
    </row>
    <row r="29" spans="1:22" x14ac:dyDescent="0.2">
      <c r="A29" s="3"/>
      <c r="B29" s="3"/>
      <c r="C29" s="3"/>
      <c r="J29" s="3"/>
      <c r="L29" s="3"/>
      <c r="M29" s="3"/>
      <c r="N29" s="3"/>
      <c r="O29" s="3"/>
      <c r="S29" s="3"/>
      <c r="T29" s="3"/>
      <c r="U29" s="3"/>
      <c r="V29" s="3"/>
    </row>
    <row r="30" spans="1:22" x14ac:dyDescent="0.2">
      <c r="A30" s="3"/>
      <c r="B30" s="3"/>
      <c r="C30" s="3"/>
      <c r="J30" s="3"/>
      <c r="L30" s="3"/>
      <c r="M30" s="3"/>
      <c r="N30" s="3"/>
      <c r="O30" s="3"/>
      <c r="S30" s="3"/>
      <c r="T30" s="3"/>
      <c r="U30" s="3"/>
      <c r="V30" s="3"/>
    </row>
    <row r="31" spans="1:22" x14ac:dyDescent="0.2">
      <c r="A31" s="3"/>
      <c r="B31" s="3"/>
      <c r="C31" s="3"/>
      <c r="J31" s="3"/>
      <c r="L31" s="3"/>
      <c r="M31" s="3"/>
      <c r="N31" s="3"/>
      <c r="O31" s="3"/>
      <c r="S31" s="3"/>
      <c r="T31" s="3"/>
      <c r="U31" s="3"/>
      <c r="V31" s="3"/>
    </row>
    <row r="32" spans="1:22" x14ac:dyDescent="0.2">
      <c r="A32" s="3"/>
      <c r="B32" s="3"/>
      <c r="C32" s="3"/>
      <c r="J32" s="3"/>
      <c r="L32" s="3"/>
      <c r="M32" s="3"/>
      <c r="N32" s="3"/>
      <c r="O32" s="3"/>
      <c r="S32" s="3"/>
      <c r="T32" s="3"/>
      <c r="U32" s="3"/>
      <c r="V32" s="3"/>
    </row>
    <row r="33" spans="1:22" x14ac:dyDescent="0.2">
      <c r="A33" s="3"/>
      <c r="B33" s="3"/>
      <c r="C33" s="3"/>
      <c r="J33" s="3"/>
      <c r="L33" s="3"/>
      <c r="M33" s="3"/>
      <c r="N33" s="3"/>
      <c r="O33" s="3"/>
      <c r="S33" s="3"/>
      <c r="T33" s="3"/>
      <c r="U33" s="3"/>
      <c r="V33" s="3"/>
    </row>
    <row r="34" spans="1:22" x14ac:dyDescent="0.2">
      <c r="A34" s="3"/>
      <c r="B34" s="3"/>
      <c r="C34" s="3"/>
      <c r="J34" s="3"/>
      <c r="L34" s="3"/>
      <c r="M34" s="3"/>
      <c r="N34" s="3"/>
      <c r="O34" s="3"/>
      <c r="S34" s="3"/>
      <c r="T34" s="3"/>
      <c r="U34" s="3"/>
      <c r="V34" s="3"/>
    </row>
    <row r="35" spans="1:22" x14ac:dyDescent="0.2">
      <c r="A35" s="3"/>
      <c r="B35" s="3"/>
      <c r="C35" s="3"/>
      <c r="J35" s="3"/>
      <c r="L35" s="3"/>
      <c r="M35" s="3"/>
      <c r="N35" s="3"/>
      <c r="O35" s="3"/>
      <c r="S35" s="3"/>
      <c r="T35" s="3"/>
      <c r="U35" s="3"/>
      <c r="V35" s="3"/>
    </row>
    <row r="36" spans="1:22" x14ac:dyDescent="0.2">
      <c r="A36" s="3"/>
      <c r="B36" s="3"/>
      <c r="C36" s="3"/>
      <c r="J36" s="3"/>
      <c r="L36" s="3"/>
      <c r="M36" s="3"/>
      <c r="N36" s="3"/>
      <c r="O36" s="3"/>
      <c r="S36" s="3"/>
      <c r="T36" s="3"/>
      <c r="U36" s="3"/>
      <c r="V36" s="3"/>
    </row>
    <row r="37" spans="1:22" x14ac:dyDescent="0.2">
      <c r="A37" s="3"/>
      <c r="B37" s="3"/>
      <c r="C37" s="3"/>
      <c r="J37" s="3"/>
      <c r="L37" s="3"/>
      <c r="M37" s="3"/>
      <c r="N37" s="3"/>
      <c r="O37" s="3"/>
      <c r="S37" s="3"/>
      <c r="T37" s="3"/>
      <c r="U37" s="3"/>
      <c r="V37" s="3"/>
    </row>
    <row r="38" spans="1:22" x14ac:dyDescent="0.2">
      <c r="A38" s="3"/>
      <c r="B38" s="3"/>
      <c r="C38" s="3"/>
      <c r="J38" s="3"/>
      <c r="L38" s="3"/>
      <c r="M38" s="3"/>
      <c r="N38" s="3"/>
      <c r="O38" s="3"/>
      <c r="S38" s="3"/>
      <c r="T38" s="3"/>
      <c r="U38" s="3"/>
      <c r="V38" s="3"/>
    </row>
    <row r="39" spans="1:22" x14ac:dyDescent="0.2">
      <c r="A39" s="3"/>
      <c r="B39" s="3"/>
      <c r="C39" s="3"/>
      <c r="J39" s="3"/>
      <c r="L39" s="3"/>
      <c r="M39" s="3"/>
      <c r="N39" s="3"/>
      <c r="O39" s="3"/>
      <c r="S39" s="3"/>
      <c r="T39" s="3"/>
      <c r="U39" s="3"/>
      <c r="V39" s="3"/>
    </row>
    <row r="40" spans="1:22" x14ac:dyDescent="0.2">
      <c r="A40" s="3"/>
      <c r="B40" s="3"/>
      <c r="C40" s="3"/>
      <c r="J40" s="3"/>
      <c r="L40" s="3"/>
      <c r="M40" s="3"/>
      <c r="N40" s="3"/>
      <c r="O40" s="3"/>
      <c r="S40" s="3"/>
      <c r="T40" s="3"/>
      <c r="U40" s="3"/>
      <c r="V40" s="3"/>
    </row>
    <row r="41" spans="1:22" x14ac:dyDescent="0.2">
      <c r="A41" s="3"/>
      <c r="B41" s="3"/>
      <c r="C41" s="3"/>
      <c r="J41" s="3"/>
      <c r="L41" s="3"/>
      <c r="M41" s="3"/>
      <c r="N41" s="3"/>
      <c r="O41" s="3"/>
      <c r="S41" s="3"/>
      <c r="T41" s="3"/>
      <c r="U41" s="3"/>
      <c r="V41" s="3"/>
    </row>
    <row r="42" spans="1:22" x14ac:dyDescent="0.2">
      <c r="A42" s="3"/>
      <c r="B42" s="3"/>
      <c r="C42" s="3"/>
      <c r="J42" s="3"/>
      <c r="L42" s="3"/>
      <c r="M42" s="3"/>
      <c r="N42" s="3"/>
      <c r="O42" s="3"/>
      <c r="S42" s="3"/>
      <c r="T42" s="3"/>
      <c r="U42" s="3"/>
      <c r="V42" s="3"/>
    </row>
    <row r="43" spans="1:22" x14ac:dyDescent="0.2">
      <c r="A43" s="3"/>
      <c r="B43" s="3"/>
      <c r="C43" s="3"/>
      <c r="J43" s="3"/>
      <c r="L43" s="3"/>
      <c r="M43" s="3"/>
      <c r="N43" s="3"/>
      <c r="O43" s="3"/>
      <c r="S43" s="3"/>
      <c r="T43" s="3"/>
      <c r="U43" s="3"/>
      <c r="V43" s="3"/>
    </row>
    <row r="44" spans="1:22" x14ac:dyDescent="0.2">
      <c r="A44" s="3"/>
      <c r="B44" s="3"/>
      <c r="C44" s="3"/>
      <c r="J44" s="3"/>
      <c r="L44" s="3"/>
      <c r="M44" s="3"/>
      <c r="N44" s="3"/>
      <c r="O44" s="3"/>
      <c r="S44" s="3"/>
      <c r="T44" s="3"/>
      <c r="U44" s="3"/>
      <c r="V44" s="3"/>
    </row>
    <row r="45" spans="1:22" x14ac:dyDescent="0.2">
      <c r="A45" s="3"/>
      <c r="B45" s="3"/>
      <c r="C45" s="3"/>
      <c r="J45" s="3"/>
      <c r="L45" s="3"/>
      <c r="M45" s="3"/>
      <c r="N45" s="3"/>
      <c r="O45" s="3"/>
      <c r="S45" s="3"/>
      <c r="T45" s="3"/>
      <c r="U45" s="3"/>
      <c r="V45" s="3"/>
    </row>
    <row r="46" spans="1:22" x14ac:dyDescent="0.2">
      <c r="A46" s="3"/>
      <c r="B46" s="3"/>
      <c r="C46" s="3"/>
      <c r="J46" s="3"/>
      <c r="L46" s="3"/>
      <c r="M46" s="3"/>
      <c r="N46" s="3"/>
      <c r="O46" s="3"/>
      <c r="S46" s="3"/>
      <c r="T46" s="3"/>
      <c r="U46" s="3"/>
      <c r="V46" s="3"/>
    </row>
    <row r="47" spans="1:22" x14ac:dyDescent="0.2">
      <c r="A47" s="3"/>
      <c r="B47" s="3"/>
      <c r="C47" s="3"/>
      <c r="J47" s="3"/>
      <c r="L47" s="3"/>
      <c r="M47" s="3"/>
      <c r="N47" s="3"/>
      <c r="O47" s="3"/>
      <c r="S47" s="3"/>
      <c r="T47" s="3"/>
      <c r="U47" s="3"/>
      <c r="V47" s="3"/>
    </row>
    <row r="48" spans="1:22" x14ac:dyDescent="0.2">
      <c r="A48" s="3"/>
      <c r="B48" s="3"/>
      <c r="C48" s="3"/>
      <c r="J48" s="3"/>
      <c r="L48" s="3"/>
      <c r="M48" s="3"/>
      <c r="N48" s="3"/>
      <c r="O48" s="3"/>
      <c r="S48" s="3"/>
      <c r="T48" s="3"/>
      <c r="U48" s="3"/>
      <c r="V48" s="3"/>
    </row>
    <row r="49" spans="1:22" x14ac:dyDescent="0.2">
      <c r="A49" s="3"/>
      <c r="B49" s="3"/>
      <c r="C49" s="3"/>
      <c r="J49" s="3"/>
      <c r="L49" s="3"/>
      <c r="M49" s="3"/>
      <c r="N49" s="3"/>
      <c r="O49" s="3"/>
      <c r="S49" s="3"/>
      <c r="T49" s="3"/>
      <c r="U49" s="3"/>
      <c r="V49" s="3"/>
    </row>
    <row r="50" spans="1:22" x14ac:dyDescent="0.2">
      <c r="A50" s="3"/>
      <c r="B50" s="3"/>
      <c r="C50" s="3"/>
      <c r="J50" s="3"/>
      <c r="L50" s="3"/>
      <c r="M50" s="3"/>
      <c r="N50" s="3"/>
      <c r="O50" s="3"/>
      <c r="S50" s="3"/>
      <c r="T50" s="3"/>
      <c r="U50" s="3"/>
      <c r="V50" s="3"/>
    </row>
    <row r="51" spans="1:22" x14ac:dyDescent="0.2">
      <c r="A51" s="3"/>
      <c r="B51" s="3"/>
      <c r="C51" s="3"/>
      <c r="J51" s="3"/>
      <c r="L51" s="3"/>
      <c r="M51" s="3"/>
      <c r="N51" s="3"/>
      <c r="O51" s="3"/>
      <c r="S51" s="3"/>
      <c r="T51" s="3"/>
      <c r="U51" s="3"/>
      <c r="V51" s="3"/>
    </row>
    <row r="52" spans="1:22" x14ac:dyDescent="0.2">
      <c r="A52" s="3"/>
      <c r="B52" s="3"/>
      <c r="C52" s="3"/>
      <c r="J52" s="3"/>
      <c r="L52" s="3"/>
      <c r="M52" s="3"/>
      <c r="N52" s="3"/>
      <c r="O52" s="3"/>
      <c r="S52" s="3"/>
      <c r="T52" s="3"/>
      <c r="U52" s="3"/>
      <c r="V52" s="3"/>
    </row>
    <row r="53" spans="1:22" x14ac:dyDescent="0.2">
      <c r="A53" s="3"/>
      <c r="B53" s="3"/>
      <c r="C53" s="3"/>
      <c r="J53" s="3"/>
      <c r="L53" s="3"/>
      <c r="M53" s="3"/>
      <c r="N53" s="3"/>
      <c r="O53" s="3"/>
      <c r="S53" s="3"/>
      <c r="T53" s="3"/>
      <c r="U53" s="3"/>
      <c r="V53" s="3"/>
    </row>
    <row r="54" spans="1:22" x14ac:dyDescent="0.2">
      <c r="A54" s="3"/>
      <c r="B54" s="3"/>
      <c r="C54" s="3"/>
      <c r="J54" s="3"/>
      <c r="L54" s="3"/>
      <c r="M54" s="3"/>
      <c r="N54" s="3"/>
      <c r="O54" s="3"/>
      <c r="S54" s="3"/>
      <c r="T54" s="3"/>
      <c r="U54" s="3"/>
      <c r="V54" s="3"/>
    </row>
    <row r="55" spans="1:22" x14ac:dyDescent="0.2">
      <c r="A55" s="3"/>
      <c r="B55" s="3"/>
      <c r="C55" s="3"/>
      <c r="J55" s="3"/>
      <c r="L55" s="3"/>
      <c r="M55" s="3"/>
      <c r="N55" s="3"/>
      <c r="O55" s="3"/>
      <c r="S55" s="3"/>
      <c r="T55" s="3"/>
      <c r="U55" s="3"/>
      <c r="V55" s="3"/>
    </row>
    <row r="56" spans="1:22" x14ac:dyDescent="0.2">
      <c r="A56" s="3"/>
      <c r="B56" s="3"/>
      <c r="C56" s="3"/>
      <c r="J56" s="3"/>
      <c r="L56" s="3"/>
      <c r="M56" s="3"/>
      <c r="N56" s="3"/>
      <c r="O56" s="3"/>
      <c r="S56" s="3"/>
      <c r="T56" s="3"/>
      <c r="U56" s="3"/>
      <c r="V56" s="3"/>
    </row>
    <row r="57" spans="1:22" x14ac:dyDescent="0.2">
      <c r="A57" s="3"/>
      <c r="B57" s="3"/>
      <c r="C57" s="3"/>
      <c r="J57" s="3"/>
      <c r="L57" s="3"/>
      <c r="M57" s="3"/>
      <c r="N57" s="3"/>
      <c r="O57" s="3"/>
      <c r="S57" s="3"/>
      <c r="T57" s="3"/>
      <c r="U57" s="3"/>
      <c r="V57" s="3"/>
    </row>
    <row r="58" spans="1:22" x14ac:dyDescent="0.2">
      <c r="A58" s="3"/>
      <c r="B58" s="3"/>
      <c r="C58" s="3"/>
      <c r="J58" s="3"/>
      <c r="L58" s="3"/>
      <c r="M58" s="3"/>
      <c r="N58" s="3"/>
      <c r="O58" s="3"/>
      <c r="S58" s="3"/>
      <c r="T58" s="3"/>
      <c r="U58" s="3"/>
      <c r="V58" s="3"/>
    </row>
    <row r="59" spans="1:22" x14ac:dyDescent="0.2">
      <c r="A59" s="3"/>
      <c r="B59" s="3"/>
      <c r="C59" s="3"/>
      <c r="J59" s="3"/>
      <c r="L59" s="3"/>
      <c r="M59" s="3"/>
      <c r="N59" s="3"/>
      <c r="O59" s="3"/>
      <c r="S59" s="3"/>
      <c r="T59" s="3"/>
      <c r="U59" s="3"/>
      <c r="V59" s="3"/>
    </row>
    <row r="60" spans="1:22" x14ac:dyDescent="0.2">
      <c r="A60" s="3"/>
      <c r="B60" s="3"/>
      <c r="C60" s="3"/>
      <c r="J60" s="3"/>
      <c r="L60" s="3"/>
      <c r="M60" s="3"/>
      <c r="N60" s="3"/>
      <c r="O60" s="3"/>
      <c r="S60" s="3"/>
      <c r="T60" s="3"/>
      <c r="U60" s="3"/>
      <c r="V60" s="3"/>
    </row>
    <row r="61" spans="1:22" x14ac:dyDescent="0.2">
      <c r="A61" s="3"/>
      <c r="B61" s="3"/>
      <c r="C61" s="3"/>
      <c r="J61" s="3"/>
      <c r="L61" s="3"/>
      <c r="M61" s="3"/>
      <c r="N61" s="3"/>
      <c r="O61" s="3"/>
      <c r="S61" s="3"/>
      <c r="T61" s="3"/>
      <c r="U61" s="3"/>
      <c r="V61" s="3"/>
    </row>
    <row r="62" spans="1:22" x14ac:dyDescent="0.2">
      <c r="A62" s="3"/>
      <c r="B62" s="3"/>
      <c r="C62" s="3"/>
      <c r="J62" s="3"/>
      <c r="L62" s="3"/>
      <c r="M62" s="3"/>
      <c r="N62" s="3"/>
      <c r="O62" s="3"/>
      <c r="S62" s="3"/>
      <c r="T62" s="3"/>
      <c r="U62" s="3"/>
      <c r="V62" s="3"/>
    </row>
    <row r="63" spans="1:22" x14ac:dyDescent="0.2">
      <c r="A63" s="3"/>
      <c r="B63" s="3"/>
      <c r="C63" s="3"/>
      <c r="J63" s="3"/>
      <c r="L63" s="3"/>
      <c r="M63" s="3"/>
      <c r="N63" s="3"/>
      <c r="O63" s="3"/>
      <c r="S63" s="3"/>
      <c r="T63" s="3"/>
      <c r="U63" s="3"/>
      <c r="V63" s="3"/>
    </row>
    <row r="64" spans="1:22" x14ac:dyDescent="0.2">
      <c r="A64" s="3"/>
      <c r="B64" s="3"/>
      <c r="C64" s="3"/>
      <c r="J64" s="3"/>
      <c r="L64" s="3"/>
      <c r="M64" s="3"/>
      <c r="N64" s="3"/>
      <c r="O64" s="3"/>
      <c r="S64" s="3"/>
      <c r="T64" s="3"/>
      <c r="U64" s="3"/>
      <c r="V64" s="3"/>
    </row>
    <row r="65" spans="1:22" x14ac:dyDescent="0.2">
      <c r="A65" s="3"/>
      <c r="B65" s="3"/>
      <c r="C65" s="3"/>
      <c r="J65" s="3"/>
      <c r="L65" s="3"/>
      <c r="M65" s="3"/>
      <c r="N65" s="3"/>
      <c r="O65" s="3"/>
      <c r="S65" s="3"/>
      <c r="T65" s="3"/>
      <c r="U65" s="3"/>
      <c r="V65" s="3"/>
    </row>
    <row r="66" spans="1:22" x14ac:dyDescent="0.2">
      <c r="A66" s="3"/>
      <c r="B66" s="3"/>
      <c r="C66" s="3"/>
      <c r="J66" s="3"/>
      <c r="L66" s="3"/>
      <c r="M66" s="3"/>
      <c r="N66" s="3"/>
      <c r="O66" s="3"/>
      <c r="S66" s="3"/>
      <c r="T66" s="3"/>
      <c r="U66" s="3"/>
      <c r="V66" s="3"/>
    </row>
    <row r="67" spans="1:22" x14ac:dyDescent="0.2">
      <c r="A67" s="3"/>
      <c r="B67" s="3"/>
      <c r="C67" s="3"/>
      <c r="J67" s="3"/>
      <c r="L67" s="3"/>
      <c r="M67" s="3"/>
      <c r="N67" s="3"/>
      <c r="O67" s="3"/>
      <c r="S67" s="3"/>
      <c r="T67" s="3"/>
      <c r="U67" s="3"/>
      <c r="V67" s="3"/>
    </row>
    <row r="68" spans="1:22" x14ac:dyDescent="0.2">
      <c r="A68" s="3"/>
      <c r="B68" s="3"/>
      <c r="C68" s="3"/>
      <c r="J68" s="3"/>
      <c r="L68" s="3"/>
      <c r="M68" s="3"/>
      <c r="N68" s="3"/>
      <c r="O68" s="3"/>
      <c r="S68" s="3"/>
      <c r="T68" s="3"/>
      <c r="U68" s="3"/>
      <c r="V68" s="3"/>
    </row>
    <row r="69" spans="1:22" x14ac:dyDescent="0.2">
      <c r="A69" s="3"/>
      <c r="B69" s="3"/>
      <c r="C69" s="3"/>
      <c r="J69" s="3"/>
      <c r="L69" s="3"/>
      <c r="M69" s="3"/>
      <c r="N69" s="3"/>
      <c r="O69" s="3"/>
      <c r="S69" s="3"/>
      <c r="T69" s="3"/>
      <c r="U69" s="3"/>
      <c r="V69" s="3"/>
    </row>
    <row r="70" spans="1:22" x14ac:dyDescent="0.2">
      <c r="A70" s="3"/>
      <c r="B70" s="3"/>
      <c r="C70" s="3"/>
      <c r="J70" s="3"/>
      <c r="L70" s="3"/>
      <c r="M70" s="3"/>
      <c r="N70" s="3"/>
      <c r="O70" s="3"/>
      <c r="S70" s="3"/>
      <c r="T70" s="3"/>
      <c r="U70" s="3"/>
      <c r="V70" s="3"/>
    </row>
    <row r="71" spans="1:22" x14ac:dyDescent="0.2">
      <c r="A71" s="3"/>
      <c r="B71" s="3"/>
      <c r="C71" s="3"/>
      <c r="J71" s="3"/>
      <c r="L71" s="3"/>
      <c r="M71" s="3"/>
      <c r="N71" s="3"/>
      <c r="O71" s="3"/>
      <c r="S71" s="3"/>
      <c r="T71" s="3"/>
      <c r="U71" s="3"/>
      <c r="V71" s="3"/>
    </row>
    <row r="72" spans="1:22" x14ac:dyDescent="0.2">
      <c r="A72" s="3"/>
      <c r="B72" s="3"/>
      <c r="C72" s="3"/>
      <c r="J72" s="3"/>
      <c r="L72" s="3"/>
      <c r="M72" s="3"/>
      <c r="N72" s="3"/>
      <c r="O72" s="3"/>
      <c r="S72" s="3"/>
      <c r="T72" s="3"/>
      <c r="U72" s="3"/>
      <c r="V72" s="3"/>
    </row>
    <row r="73" spans="1:22" x14ac:dyDescent="0.2">
      <c r="A73" s="3"/>
      <c r="B73" s="3"/>
      <c r="C73" s="3"/>
      <c r="J73" s="3"/>
      <c r="L73" s="3"/>
      <c r="M73" s="3"/>
      <c r="N73" s="3"/>
      <c r="O73" s="3"/>
      <c r="S73" s="3"/>
      <c r="T73" s="3"/>
      <c r="U73" s="3"/>
      <c r="V73" s="3"/>
    </row>
    <row r="74" spans="1:22" x14ac:dyDescent="0.2">
      <c r="A74" s="3"/>
      <c r="B74" s="3"/>
      <c r="C74" s="3"/>
      <c r="J74" s="3"/>
      <c r="L74" s="3"/>
      <c r="M74" s="3"/>
      <c r="N74" s="3"/>
      <c r="O74" s="3"/>
      <c r="S74" s="3"/>
      <c r="T74" s="3"/>
      <c r="U74" s="3"/>
      <c r="V74" s="3"/>
    </row>
    <row r="75" spans="1:22" x14ac:dyDescent="0.2">
      <c r="A75" s="3"/>
      <c r="B75" s="3"/>
      <c r="C75" s="3"/>
      <c r="J75" s="3"/>
      <c r="L75" s="3"/>
      <c r="M75" s="3"/>
      <c r="N75" s="3"/>
      <c r="O75" s="3"/>
      <c r="S75" s="3"/>
      <c r="T75" s="3"/>
      <c r="U75" s="3"/>
      <c r="V75" s="3"/>
    </row>
    <row r="76" spans="1:22" x14ac:dyDescent="0.2">
      <c r="A76" s="3"/>
      <c r="B76" s="3"/>
      <c r="C76" s="3"/>
      <c r="J76" s="3"/>
      <c r="L76" s="3"/>
      <c r="M76" s="3"/>
      <c r="N76" s="3"/>
      <c r="O76" s="3"/>
      <c r="S76" s="3"/>
      <c r="T76" s="3"/>
      <c r="U76" s="3"/>
      <c r="V76" s="3"/>
    </row>
    <row r="77" spans="1:22" x14ac:dyDescent="0.2">
      <c r="A77" s="3"/>
      <c r="B77" s="3"/>
      <c r="C77" s="3"/>
      <c r="J77" s="3"/>
      <c r="L77" s="3"/>
      <c r="M77" s="3"/>
      <c r="N77" s="3"/>
      <c r="O77" s="3"/>
      <c r="S77" s="3"/>
      <c r="T77" s="3"/>
      <c r="U77" s="3"/>
      <c r="V77" s="3"/>
    </row>
    <row r="78" spans="1:22" x14ac:dyDescent="0.2">
      <c r="A78" s="3"/>
      <c r="B78" s="3"/>
      <c r="C78" s="3"/>
      <c r="J78" s="3"/>
      <c r="L78" s="3"/>
      <c r="M78" s="3"/>
      <c r="N78" s="3"/>
      <c r="O78" s="3"/>
      <c r="S78" s="3"/>
      <c r="T78" s="3"/>
      <c r="U78" s="3"/>
      <c r="V78" s="3"/>
    </row>
    <row r="79" spans="1:22" x14ac:dyDescent="0.2">
      <c r="A79" s="3"/>
      <c r="B79" s="3"/>
      <c r="C79" s="3"/>
      <c r="J79" s="3"/>
      <c r="L79" s="3"/>
      <c r="M79" s="3"/>
      <c r="N79" s="3"/>
      <c r="O79" s="3"/>
      <c r="S79" s="3"/>
      <c r="T79" s="3"/>
      <c r="U79" s="3"/>
      <c r="V79" s="3"/>
    </row>
    <row r="80" spans="1:22" x14ac:dyDescent="0.2">
      <c r="A80" s="3"/>
      <c r="B80" s="3"/>
      <c r="C80" s="3"/>
      <c r="J80" s="3"/>
      <c r="L80" s="3"/>
      <c r="M80" s="3"/>
      <c r="N80" s="3"/>
      <c r="O80" s="3"/>
      <c r="S80" s="3"/>
      <c r="T80" s="3"/>
      <c r="U80" s="3"/>
      <c r="V80" s="3"/>
    </row>
    <row r="81" spans="1:22" x14ac:dyDescent="0.2">
      <c r="A81" s="3"/>
      <c r="B81" s="3"/>
      <c r="C81" s="3"/>
      <c r="J81" s="3"/>
      <c r="L81" s="3"/>
      <c r="M81" s="3"/>
      <c r="N81" s="3"/>
      <c r="O81" s="3"/>
      <c r="S81" s="3"/>
      <c r="T81" s="3"/>
      <c r="U81" s="3"/>
      <c r="V81" s="3"/>
    </row>
    <row r="82" spans="1:22" x14ac:dyDescent="0.2">
      <c r="A82" s="3"/>
      <c r="B82" s="3"/>
      <c r="C82" s="3"/>
      <c r="J82" s="3"/>
      <c r="L82" s="3"/>
      <c r="M82" s="3"/>
      <c r="N82" s="3"/>
      <c r="O82" s="3"/>
      <c r="S82" s="3"/>
      <c r="T82" s="3"/>
      <c r="U82" s="3"/>
      <c r="V82" s="3"/>
    </row>
    <row r="83" spans="1:22" x14ac:dyDescent="0.2">
      <c r="A83" s="3"/>
      <c r="B83" s="3"/>
      <c r="C83" s="3"/>
      <c r="J83" s="3"/>
      <c r="L83" s="3"/>
      <c r="M83" s="3"/>
      <c r="N83" s="3"/>
      <c r="O83" s="3"/>
      <c r="S83" s="3"/>
      <c r="T83" s="3"/>
      <c r="U83" s="3"/>
      <c r="V83" s="3"/>
    </row>
    <row r="84" spans="1:22" x14ac:dyDescent="0.2">
      <c r="A84" s="3"/>
      <c r="B84" s="3"/>
      <c r="C84" s="3"/>
      <c r="J84" s="3"/>
      <c r="L84" s="3"/>
      <c r="M84" s="3"/>
      <c r="N84" s="3"/>
      <c r="O84" s="3"/>
      <c r="S84" s="3"/>
      <c r="T84" s="3"/>
      <c r="U84" s="3"/>
      <c r="V84" s="3"/>
    </row>
    <row r="85" spans="1:22" x14ac:dyDescent="0.2">
      <c r="A85" s="3"/>
      <c r="B85" s="3"/>
      <c r="C85" s="3"/>
      <c r="J85" s="3"/>
      <c r="L85" s="3"/>
      <c r="M85" s="3"/>
      <c r="N85" s="3"/>
      <c r="O85" s="3"/>
      <c r="S85" s="3"/>
      <c r="T85" s="3"/>
      <c r="U85" s="3"/>
      <c r="V85" s="3"/>
    </row>
    <row r="86" spans="1:22" x14ac:dyDescent="0.2">
      <c r="A86" s="3"/>
      <c r="B86" s="3"/>
      <c r="C86" s="3"/>
      <c r="J86" s="3"/>
      <c r="L86" s="3"/>
      <c r="M86" s="3"/>
      <c r="N86" s="3"/>
      <c r="O86" s="3"/>
      <c r="S86" s="3"/>
      <c r="T86" s="3"/>
      <c r="U86" s="3"/>
      <c r="V86" s="3"/>
    </row>
    <row r="87" spans="1:22" x14ac:dyDescent="0.2">
      <c r="A87" s="3"/>
      <c r="B87" s="3"/>
      <c r="C87" s="3"/>
      <c r="J87" s="3"/>
      <c r="L87" s="3"/>
      <c r="M87" s="3"/>
      <c r="N87" s="3"/>
      <c r="O87" s="3"/>
      <c r="S87" s="3"/>
      <c r="T87" s="3"/>
      <c r="U87" s="3"/>
      <c r="V87" s="3"/>
    </row>
    <row r="88" spans="1:22" x14ac:dyDescent="0.2">
      <c r="A88" s="3"/>
      <c r="B88" s="3"/>
      <c r="C88" s="3"/>
      <c r="J88" s="3"/>
      <c r="L88" s="3"/>
      <c r="M88" s="3"/>
      <c r="N88" s="3"/>
      <c r="O88" s="3"/>
      <c r="S88" s="3"/>
      <c r="T88" s="3"/>
      <c r="U88" s="3"/>
      <c r="V88" s="3"/>
    </row>
    <row r="89" spans="1:22" x14ac:dyDescent="0.2">
      <c r="A89" s="3"/>
      <c r="B89" s="3"/>
      <c r="C89" s="3"/>
      <c r="J89" s="3"/>
      <c r="L89" s="3"/>
      <c r="M89" s="3"/>
      <c r="N89" s="3"/>
      <c r="O89" s="3"/>
      <c r="S89" s="3"/>
      <c r="T89" s="3"/>
      <c r="U89" s="3"/>
      <c r="V89" s="3"/>
    </row>
    <row r="90" spans="1:22" x14ac:dyDescent="0.2">
      <c r="A90" s="3"/>
      <c r="B90" s="3"/>
      <c r="C90" s="3"/>
      <c r="J90" s="3"/>
      <c r="L90" s="3"/>
      <c r="M90" s="3"/>
      <c r="N90" s="3"/>
      <c r="O90" s="3"/>
      <c r="S90" s="3"/>
      <c r="T90" s="3"/>
      <c r="U90" s="3"/>
      <c r="V90" s="3"/>
    </row>
    <row r="91" spans="1:22" x14ac:dyDescent="0.2">
      <c r="A91" s="3"/>
      <c r="B91" s="3"/>
      <c r="C91" s="3"/>
      <c r="J91" s="3"/>
      <c r="L91" s="3"/>
      <c r="M91" s="3"/>
      <c r="N91" s="3"/>
      <c r="O91" s="3"/>
      <c r="S91" s="3"/>
      <c r="T91" s="3"/>
      <c r="U91" s="3"/>
      <c r="V91" s="3"/>
    </row>
    <row r="92" spans="1:22" x14ac:dyDescent="0.2">
      <c r="A92" s="3"/>
      <c r="B92" s="3"/>
      <c r="C92" s="3"/>
      <c r="J92" s="3"/>
      <c r="L92" s="3"/>
      <c r="M92" s="3"/>
      <c r="N92" s="3"/>
      <c r="O92" s="3"/>
      <c r="S92" s="3"/>
      <c r="T92" s="3"/>
      <c r="U92" s="3"/>
      <c r="V92" s="3"/>
    </row>
    <row r="93" spans="1:22" x14ac:dyDescent="0.2">
      <c r="A93" s="3"/>
      <c r="B93" s="3"/>
      <c r="C93" s="3"/>
      <c r="J93" s="3"/>
      <c r="L93" s="3"/>
      <c r="M93" s="3"/>
      <c r="N93" s="3"/>
      <c r="O93" s="3"/>
      <c r="S93" s="3"/>
      <c r="T93" s="3"/>
      <c r="U93" s="3"/>
      <c r="V93" s="3"/>
    </row>
    <row r="94" spans="1:22" x14ac:dyDescent="0.2">
      <c r="A94" s="3"/>
      <c r="B94" s="3"/>
      <c r="C94" s="3"/>
      <c r="J94" s="3"/>
      <c r="L94" s="3"/>
      <c r="M94" s="3"/>
      <c r="N94" s="3"/>
      <c r="O94" s="3"/>
      <c r="S94" s="3"/>
      <c r="T94" s="3"/>
      <c r="U94" s="3"/>
      <c r="V94" s="3"/>
    </row>
    <row r="95" spans="1:22" x14ac:dyDescent="0.2">
      <c r="A95" s="3"/>
      <c r="B95" s="3"/>
      <c r="C95" s="3"/>
      <c r="J95" s="3"/>
      <c r="L95" s="3"/>
      <c r="M95" s="3"/>
      <c r="N95" s="3"/>
      <c r="O95" s="3"/>
      <c r="S95" s="3"/>
      <c r="T95" s="3"/>
      <c r="U95" s="3"/>
      <c r="V95" s="3"/>
    </row>
    <row r="96" spans="1:22" x14ac:dyDescent="0.2">
      <c r="A96" s="3"/>
      <c r="B96" s="3"/>
      <c r="C96" s="3"/>
      <c r="J96" s="3"/>
      <c r="L96" s="3"/>
      <c r="M96" s="3"/>
      <c r="N96" s="3"/>
      <c r="O96" s="3"/>
      <c r="S96" s="3"/>
      <c r="T96" s="3"/>
      <c r="U96" s="3"/>
      <c r="V96" s="3"/>
    </row>
    <row r="97" spans="1:22" x14ac:dyDescent="0.2">
      <c r="A97" s="3"/>
      <c r="B97" s="3"/>
      <c r="C97" s="3"/>
      <c r="J97" s="3"/>
      <c r="L97" s="3"/>
      <c r="M97" s="3"/>
      <c r="N97" s="3"/>
      <c r="O97" s="3"/>
      <c r="S97" s="3"/>
      <c r="T97" s="3"/>
      <c r="U97" s="3"/>
      <c r="V97" s="3"/>
    </row>
    <row r="98" spans="1:22" x14ac:dyDescent="0.2">
      <c r="A98" s="3"/>
      <c r="B98" s="3"/>
      <c r="C98" s="3"/>
      <c r="J98" s="3"/>
      <c r="L98" s="3"/>
      <c r="M98" s="3"/>
      <c r="N98" s="3"/>
      <c r="O98" s="3"/>
      <c r="S98" s="3"/>
      <c r="T98" s="3"/>
      <c r="U98" s="3"/>
      <c r="V98" s="3"/>
    </row>
    <row r="99" spans="1:22" x14ac:dyDescent="0.2">
      <c r="A99" s="3"/>
      <c r="B99" s="3"/>
      <c r="C99" s="3"/>
      <c r="J99" s="3"/>
      <c r="L99" s="3"/>
      <c r="M99" s="3"/>
      <c r="N99" s="3"/>
      <c r="O99" s="3"/>
      <c r="S99" s="3"/>
      <c r="T99" s="3"/>
      <c r="U99" s="3"/>
      <c r="V99" s="3"/>
    </row>
    <row r="100" spans="1:22" x14ac:dyDescent="0.2">
      <c r="A100" s="3"/>
      <c r="B100" s="3"/>
      <c r="C100" s="3"/>
      <c r="J100" s="3"/>
      <c r="L100" s="3"/>
      <c r="M100" s="3"/>
      <c r="N100" s="3"/>
      <c r="O100" s="3"/>
      <c r="S100" s="3"/>
      <c r="T100" s="3"/>
      <c r="U100" s="3"/>
      <c r="V100" s="3"/>
    </row>
    <row r="101" spans="1:22" x14ac:dyDescent="0.2">
      <c r="A101" s="3"/>
      <c r="B101" s="3"/>
      <c r="C101" s="3"/>
      <c r="J101" s="3"/>
      <c r="L101" s="3"/>
      <c r="M101" s="3"/>
      <c r="N101" s="3"/>
      <c r="O101" s="3"/>
      <c r="S101" s="3"/>
      <c r="T101" s="3"/>
      <c r="U101" s="3"/>
      <c r="V101" s="3"/>
    </row>
    <row r="102" spans="1:22" x14ac:dyDescent="0.2">
      <c r="A102" s="3"/>
      <c r="B102" s="3"/>
      <c r="C102" s="3"/>
      <c r="J102" s="3"/>
      <c r="L102" s="3"/>
      <c r="M102" s="3"/>
      <c r="N102" s="3"/>
      <c r="O102" s="3"/>
      <c r="S102" s="3"/>
      <c r="T102" s="3"/>
      <c r="U102" s="3"/>
      <c r="V102" s="3"/>
    </row>
    <row r="103" spans="1:22" x14ac:dyDescent="0.2">
      <c r="A103" s="3"/>
      <c r="B103" s="3"/>
      <c r="C103" s="3"/>
      <c r="J103" s="3"/>
      <c r="L103" s="3"/>
      <c r="M103" s="3"/>
      <c r="N103" s="3"/>
      <c r="O103" s="3"/>
      <c r="S103" s="3"/>
      <c r="T103" s="3"/>
      <c r="U103" s="3"/>
      <c r="V103" s="3"/>
    </row>
    <row r="104" spans="1:22" x14ac:dyDescent="0.2">
      <c r="A104" s="3"/>
      <c r="B104" s="3"/>
      <c r="C104" s="3"/>
      <c r="J104" s="3"/>
      <c r="L104" s="3"/>
      <c r="M104" s="3"/>
      <c r="N104" s="3"/>
      <c r="O104" s="3"/>
      <c r="S104" s="3"/>
      <c r="T104" s="3"/>
      <c r="U104" s="3"/>
      <c r="V104" s="3"/>
    </row>
    <row r="105" spans="1:22" x14ac:dyDescent="0.2">
      <c r="A105" s="3"/>
      <c r="B105" s="3"/>
      <c r="C105" s="3"/>
      <c r="J105" s="3"/>
      <c r="L105" s="3"/>
      <c r="M105" s="3"/>
      <c r="N105" s="3"/>
      <c r="O105" s="3"/>
      <c r="S105" s="3"/>
      <c r="T105" s="3"/>
      <c r="U105" s="3"/>
      <c r="V105" s="3"/>
    </row>
    <row r="106" spans="1:22" x14ac:dyDescent="0.2">
      <c r="A106" s="3"/>
      <c r="B106" s="3"/>
      <c r="C106" s="3"/>
      <c r="J106" s="3"/>
      <c r="L106" s="3"/>
      <c r="M106" s="3"/>
      <c r="N106" s="3"/>
      <c r="O106" s="3"/>
      <c r="S106" s="3"/>
      <c r="T106" s="3"/>
      <c r="U106" s="3"/>
      <c r="V106" s="3"/>
    </row>
    <row r="107" spans="1:22" x14ac:dyDescent="0.2">
      <c r="A107" s="3"/>
      <c r="B107" s="3"/>
      <c r="C107" s="3"/>
      <c r="J107" s="3"/>
      <c r="L107" s="3"/>
      <c r="M107" s="3"/>
      <c r="N107" s="3"/>
      <c r="O107" s="3"/>
      <c r="S107" s="3"/>
      <c r="T107" s="3"/>
      <c r="U107" s="3"/>
      <c r="V107" s="3"/>
    </row>
    <row r="108" spans="1:22" x14ac:dyDescent="0.2">
      <c r="A108" s="3"/>
      <c r="B108" s="3"/>
      <c r="C108" s="3"/>
      <c r="J108" s="3"/>
      <c r="L108" s="3"/>
      <c r="M108" s="3"/>
      <c r="N108" s="3"/>
      <c r="O108" s="3"/>
      <c r="S108" s="3"/>
      <c r="T108" s="3"/>
      <c r="U108" s="3"/>
      <c r="V108" s="3"/>
    </row>
  </sheetData>
  <mergeCells count="3">
    <mergeCell ref="E3:H3"/>
    <mergeCell ref="L3:O3"/>
    <mergeCell ref="S3:V3"/>
  </mergeCells>
  <pageMargins left="0.25" right="0.25" top="0.75" bottom="0.75" header="0.3" footer="0.3"/>
  <pageSetup scale="48"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1B65A9"/>
    <pageSetUpPr fitToPage="1"/>
  </sheetPr>
  <dimension ref="A1:AA26"/>
  <sheetViews>
    <sheetView zoomScale="65" zoomScaleNormal="65" zoomScaleSheetLayoutView="85" workbookViewId="0">
      <pane xSplit="1" ySplit="4" topLeftCell="B5" activePane="bottomRight" state="frozen"/>
      <selection activeCell="B2" sqref="B2"/>
      <selection pane="topRight" activeCell="B2" sqref="B2"/>
      <selection pane="bottomLeft" activeCell="B2" sqref="B2"/>
      <selection pane="bottomRight" activeCell="B5" sqref="B5"/>
    </sheetView>
  </sheetViews>
  <sheetFormatPr defaultColWidth="9.140625" defaultRowHeight="11.25" outlineLevelCol="2" x14ac:dyDescent="0.2"/>
  <cols>
    <col min="1" max="1" width="83" style="13" customWidth="1"/>
    <col min="2" max="3" width="20.7109375" style="13" customWidth="1" outlineLevel="1"/>
    <col min="4" max="4" width="1.140625" style="3" hidden="1" customWidth="1" outlineLevel="2"/>
    <col min="5" max="8" width="20.7109375" style="13" hidden="1" customWidth="1" outlineLevel="2"/>
    <col min="9" max="9" width="1.140625" style="3" hidden="1" customWidth="1" outlineLevel="2"/>
    <col min="10" max="10" width="20.7109375" style="13" customWidth="1" outlineLevel="1" collapsed="1"/>
    <col min="11" max="11" width="1.140625" style="3" customWidth="1"/>
    <col min="12" max="15" width="20.7109375" style="13" customWidth="1" outlineLevel="1"/>
    <col min="16" max="16" width="1.140625" style="3" customWidth="1"/>
    <col min="17" max="17" width="20.7109375" style="13" customWidth="1"/>
    <col min="18" max="18" width="1.7109375" style="13" customWidth="1"/>
    <col min="19" max="22" width="20.7109375" style="13" customWidth="1"/>
    <col min="23" max="23" width="1.5703125" style="3" customWidth="1"/>
    <col min="24" max="24" width="20.7109375" style="13" customWidth="1"/>
    <col min="25" max="26" width="14.85546875" style="13" customWidth="1"/>
    <col min="27" max="27" width="3.85546875" style="13" customWidth="1"/>
    <col min="28" max="28" width="9.28515625" style="3" bestFit="1" customWidth="1"/>
    <col min="29" max="16384" width="9.140625" style="3"/>
  </cols>
  <sheetData>
    <row r="1" spans="1:27" ht="18" x14ac:dyDescent="0.25">
      <c r="A1" s="198" t="s">
        <v>241</v>
      </c>
      <c r="D1" s="24"/>
      <c r="I1" s="24"/>
      <c r="K1" s="24"/>
      <c r="P1" s="24"/>
    </row>
    <row r="2" spans="1:27" x14ac:dyDescent="0.2">
      <c r="A2" s="11"/>
      <c r="B2" s="11"/>
      <c r="C2" s="12"/>
      <c r="D2" s="1"/>
      <c r="I2" s="1"/>
      <c r="K2" s="1"/>
      <c r="P2" s="1"/>
    </row>
    <row r="3" spans="1:27" s="24" customFormat="1" ht="30" customHeight="1" x14ac:dyDescent="0.25">
      <c r="A3" s="83"/>
      <c r="B3" s="98" t="s">
        <v>31</v>
      </c>
      <c r="C3" s="226" t="s">
        <v>31</v>
      </c>
      <c r="D3" s="79"/>
      <c r="E3" s="354" t="s">
        <v>1</v>
      </c>
      <c r="F3" s="354"/>
      <c r="G3" s="354"/>
      <c r="H3" s="354"/>
      <c r="I3" s="79"/>
      <c r="J3" s="226" t="s">
        <v>31</v>
      </c>
      <c r="K3" s="79"/>
      <c r="L3" s="354" t="s">
        <v>1</v>
      </c>
      <c r="M3" s="354"/>
      <c r="N3" s="354"/>
      <c r="O3" s="354"/>
      <c r="P3" s="79"/>
      <c r="Q3" s="262" t="s">
        <v>31</v>
      </c>
      <c r="R3" s="99"/>
      <c r="S3" s="354" t="s">
        <v>1</v>
      </c>
      <c r="T3" s="354"/>
      <c r="U3" s="354"/>
      <c r="V3" s="354"/>
      <c r="X3" s="303" t="s">
        <v>31</v>
      </c>
      <c r="Y3" s="99"/>
      <c r="Z3" s="99"/>
      <c r="AA3" s="99"/>
    </row>
    <row r="4" spans="1:27" s="24" customFormat="1" ht="30" customHeight="1" x14ac:dyDescent="0.25">
      <c r="A4" s="83" t="s">
        <v>0</v>
      </c>
      <c r="B4" s="100" t="s">
        <v>155</v>
      </c>
      <c r="C4" s="101" t="s">
        <v>159</v>
      </c>
      <c r="D4" s="85"/>
      <c r="E4" s="84" t="s">
        <v>156</v>
      </c>
      <c r="F4" s="84" t="s">
        <v>157</v>
      </c>
      <c r="G4" s="84" t="s">
        <v>158</v>
      </c>
      <c r="H4" s="84" t="s">
        <v>100</v>
      </c>
      <c r="I4" s="85"/>
      <c r="J4" s="84" t="s">
        <v>100</v>
      </c>
      <c r="K4" s="85"/>
      <c r="L4" s="84" t="s">
        <v>148</v>
      </c>
      <c r="M4" s="84" t="s">
        <v>149</v>
      </c>
      <c r="N4" s="84" t="s">
        <v>109</v>
      </c>
      <c r="O4" s="84" t="s">
        <v>314</v>
      </c>
      <c r="P4" s="85"/>
      <c r="Q4" s="84" t="s">
        <v>314</v>
      </c>
      <c r="R4" s="99"/>
      <c r="S4" s="84" t="s">
        <v>327</v>
      </c>
      <c r="T4" s="84" t="s">
        <v>330</v>
      </c>
      <c r="U4" s="84" t="s">
        <v>338</v>
      </c>
      <c r="V4" s="84" t="s">
        <v>346</v>
      </c>
      <c r="X4" s="84" t="s">
        <v>346</v>
      </c>
      <c r="Y4" s="99"/>
      <c r="Z4" s="99"/>
      <c r="AA4" s="99"/>
    </row>
    <row r="5" spans="1:27" ht="16.5" x14ac:dyDescent="0.25">
      <c r="A5" s="3"/>
      <c r="D5" s="51"/>
      <c r="I5" s="51"/>
      <c r="K5" s="51"/>
      <c r="P5" s="51"/>
    </row>
    <row r="6" spans="1:27" ht="16.5" x14ac:dyDescent="0.25">
      <c r="A6" s="212" t="s">
        <v>86</v>
      </c>
      <c r="D6" s="51"/>
      <c r="I6" s="51"/>
      <c r="K6" s="51"/>
      <c r="P6" s="51"/>
    </row>
    <row r="7" spans="1:27" ht="16.5" x14ac:dyDescent="0.25">
      <c r="A7" s="52" t="s">
        <v>243</v>
      </c>
      <c r="B7" s="231">
        <v>435.40899999999999</v>
      </c>
      <c r="C7" s="231">
        <f>+B8</f>
        <v>356.209</v>
      </c>
      <c r="D7" s="55"/>
      <c r="E7" s="231">
        <v>91.01</v>
      </c>
      <c r="F7" s="231">
        <v>94.709000000000003</v>
      </c>
      <c r="G7" s="231">
        <v>99.135999999999996</v>
      </c>
      <c r="H7" s="231">
        <v>110.307</v>
      </c>
      <c r="I7" s="55"/>
      <c r="J7" s="231">
        <f>+C8</f>
        <v>395.1</v>
      </c>
      <c r="K7" s="55"/>
      <c r="L7" s="231">
        <f>+E8</f>
        <v>102.7</v>
      </c>
      <c r="M7" s="231">
        <f t="shared" ref="M7:N7" si="0">+F8</f>
        <v>105.52</v>
      </c>
      <c r="N7" s="231">
        <f t="shared" si="0"/>
        <v>106.51600000000001</v>
      </c>
      <c r="O7" s="231">
        <f>+H8</f>
        <v>118.673</v>
      </c>
      <c r="P7" s="55"/>
      <c r="Q7" s="231">
        <f>+J8</f>
        <v>433.4</v>
      </c>
      <c r="S7" s="231">
        <f>+L8</f>
        <v>108.164</v>
      </c>
      <c r="T7" s="231">
        <f>+M8</f>
        <v>112.869</v>
      </c>
      <c r="U7" s="231">
        <f>+N8</f>
        <v>106.931</v>
      </c>
      <c r="V7" s="231">
        <f>+O8</f>
        <v>129.14499999999998</v>
      </c>
      <c r="X7" s="231">
        <f>+Q8</f>
        <v>457.10900000000004</v>
      </c>
    </row>
    <row r="8" spans="1:27" ht="16.5" x14ac:dyDescent="0.25">
      <c r="A8" s="52" t="s">
        <v>244</v>
      </c>
      <c r="B8" s="231">
        <v>356.209</v>
      </c>
      <c r="C8" s="231">
        <v>395.1</v>
      </c>
      <c r="D8" s="55"/>
      <c r="E8" s="231">
        <v>102.7</v>
      </c>
      <c r="F8" s="231">
        <v>105.52</v>
      </c>
      <c r="G8" s="231">
        <v>106.51600000000001</v>
      </c>
      <c r="H8" s="231">
        <v>118.673</v>
      </c>
      <c r="I8" s="55"/>
      <c r="J8" s="231">
        <v>433.4</v>
      </c>
      <c r="K8" s="55"/>
      <c r="L8" s="231">
        <v>108.164</v>
      </c>
      <c r="M8" s="231">
        <v>112.869</v>
      </c>
      <c r="N8" s="231">
        <f>+'CIS Revenue Metrics'!N8</f>
        <v>106.931</v>
      </c>
      <c r="O8" s="231">
        <f>+'CIS Revenue Metrics'!O8</f>
        <v>129.14499999999998</v>
      </c>
      <c r="P8" s="60"/>
      <c r="Q8" s="231">
        <f>+'CIS Revenue Metrics'!Q8</f>
        <v>457.10900000000004</v>
      </c>
      <c r="S8" s="231">
        <f>+'CIS Revenue Metrics'!S8</f>
        <v>101.43</v>
      </c>
      <c r="T8" s="231">
        <f>+'CIS Revenue Metrics'!T8</f>
        <v>105.029</v>
      </c>
      <c r="U8" s="231">
        <f>+'CIS Revenue Metrics'!U8</f>
        <v>112.979</v>
      </c>
      <c r="V8" s="231">
        <f>+'CIS Revenue Metrics'!V8</f>
        <v>124.02000000000001</v>
      </c>
      <c r="X8" s="231">
        <f>+'CIS Revenue Metrics'!X8</f>
        <v>443.45799999999997</v>
      </c>
    </row>
    <row r="9" spans="1:27" ht="16.5" x14ac:dyDescent="0.25">
      <c r="A9" s="52" t="s">
        <v>283</v>
      </c>
      <c r="B9" s="231">
        <v>357</v>
      </c>
      <c r="C9" s="231">
        <v>391</v>
      </c>
      <c r="D9" s="55"/>
      <c r="E9" s="231">
        <v>101</v>
      </c>
      <c r="F9" s="231">
        <v>105</v>
      </c>
      <c r="G9" s="231">
        <v>108</v>
      </c>
      <c r="H9" s="231">
        <v>121</v>
      </c>
      <c r="I9" s="55"/>
      <c r="J9" s="231">
        <v>434</v>
      </c>
      <c r="K9" s="55"/>
      <c r="L9" s="231">
        <v>110</v>
      </c>
      <c r="M9" s="231">
        <v>114</v>
      </c>
      <c r="N9" s="231">
        <v>108</v>
      </c>
      <c r="O9" s="231">
        <v>130</v>
      </c>
      <c r="P9" s="60"/>
      <c r="Q9" s="231">
        <v>461</v>
      </c>
      <c r="S9" s="231">
        <v>103</v>
      </c>
      <c r="T9" s="231">
        <v>106</v>
      </c>
      <c r="U9" s="231">
        <v>112</v>
      </c>
      <c r="V9" s="231">
        <v>123</v>
      </c>
      <c r="X9" s="231">
        <f>SUM(S9:V9)</f>
        <v>444</v>
      </c>
    </row>
    <row r="10" spans="1:27" ht="16.5" x14ac:dyDescent="0.25">
      <c r="A10" s="52" t="s">
        <v>237</v>
      </c>
      <c r="B10" s="229">
        <f>+(B8-B7)/B7</f>
        <v>-0.18189793963836298</v>
      </c>
      <c r="C10" s="229">
        <f>+(C8-C7)/C7</f>
        <v>0.10918028460819355</v>
      </c>
      <c r="D10" s="60"/>
      <c r="E10" s="229">
        <f>+(E8-E7)/E7+0.0001</f>
        <v>0.12854742336007027</v>
      </c>
      <c r="F10" s="229">
        <f>+(F8-F7)/F7</f>
        <v>0.1141496584273933</v>
      </c>
      <c r="G10" s="229">
        <f>+(G8-G7)/G7</f>
        <v>7.4443189154293196E-2</v>
      </c>
      <c r="H10" s="229">
        <f>+(H8-H7)/H7</f>
        <v>7.5842874885546696E-2</v>
      </c>
      <c r="I10" s="60"/>
      <c r="J10" s="229">
        <f>+(J8-J7)/J7</f>
        <v>9.6937484181219821E-2</v>
      </c>
      <c r="K10" s="60"/>
      <c r="L10" s="229">
        <f>+(L8-L7)/L7</f>
        <v>5.3203505355404072E-2</v>
      </c>
      <c r="M10" s="229">
        <f>+(M8-M7)/M7</f>
        <v>6.964556482183476E-2</v>
      </c>
      <c r="N10" s="229">
        <f>+(N8-N7)/N7</f>
        <v>3.8961282811971159E-3</v>
      </c>
      <c r="O10" s="229">
        <f>+(O8-O7)/O7</f>
        <v>8.8242481440597098E-2</v>
      </c>
      <c r="P10" s="60"/>
      <c r="Q10" s="229">
        <f>+(Q8-Q7)/Q7</f>
        <v>5.4704660821412232E-2</v>
      </c>
      <c r="S10" s="229">
        <f>+(S8-S7)/S7</f>
        <v>-6.2257312969194879E-2</v>
      </c>
      <c r="T10" s="229">
        <f>+(T8-T7)/T7</f>
        <v>-6.9461056623164943E-2</v>
      </c>
      <c r="U10" s="229">
        <f>+(U8-U7)/U7</f>
        <v>5.6559837652317868E-2</v>
      </c>
      <c r="V10" s="229">
        <f>+(V8-V7)/V7</f>
        <v>-3.9684076038561091E-2</v>
      </c>
      <c r="X10" s="229">
        <f>+(X8-X7)/X7</f>
        <v>-2.9863774285783184E-2</v>
      </c>
    </row>
    <row r="11" spans="1:27" ht="16.5" x14ac:dyDescent="0.25">
      <c r="A11" s="52" t="s">
        <v>238</v>
      </c>
      <c r="B11" s="227">
        <f>+B12-B10</f>
        <v>1.8166827052265577E-3</v>
      </c>
      <c r="C11" s="227">
        <f>+C12-C10+0.001</f>
        <v>-1.0510096600591282E-2</v>
      </c>
      <c r="D11" s="67"/>
      <c r="E11" s="227">
        <f>+E12-E10</f>
        <v>-1.877926601472367E-2</v>
      </c>
      <c r="F11" s="227">
        <f>+F12-F10</f>
        <v>-5.4905024865640611E-3</v>
      </c>
      <c r="G11" s="227">
        <f>+G12-G10</f>
        <v>1.496933505487405E-2</v>
      </c>
      <c r="H11" s="227">
        <f>+H12-H10</f>
        <v>2.1095669359152164E-2</v>
      </c>
      <c r="I11" s="67"/>
      <c r="J11" s="227">
        <f>+J12-J10-0.001</f>
        <v>5.1860288534554076E-4</v>
      </c>
      <c r="K11" s="67"/>
      <c r="L11" s="227">
        <f>+L12-L10</f>
        <v>1.7877312560856846E-2</v>
      </c>
      <c r="M11" s="227">
        <f>+M12-M10-0.001</f>
        <v>9.7183472327520837E-3</v>
      </c>
      <c r="N11" s="227">
        <f>+N12-N10</f>
        <v>1.0036050921927246E-2</v>
      </c>
      <c r="O11" s="227">
        <f>+O12-O10</f>
        <v>7.2046716607822997E-3</v>
      </c>
      <c r="P11" s="67"/>
      <c r="Q11" s="227">
        <f>+Q12-Q10</f>
        <v>8.9778495616058274E-3</v>
      </c>
      <c r="S11" s="227">
        <f>+(S12-S10)-0.001</f>
        <v>1.3514995747198638E-2</v>
      </c>
      <c r="T11" s="227">
        <f>+(T12-T10)-0.001</f>
        <v>7.6028936200374245E-3</v>
      </c>
      <c r="U11" s="227">
        <f>+(U12-U10)-0.001</f>
        <v>-1.0155436683468771E-2</v>
      </c>
      <c r="V11" s="227">
        <f>+(V12-V10)</f>
        <v>-7.8980990359674083E-3</v>
      </c>
      <c r="X11" s="227">
        <f>+X12-X10</f>
        <v>1.1857128168555643E-3</v>
      </c>
    </row>
    <row r="12" spans="1:27" ht="16.5" x14ac:dyDescent="0.25">
      <c r="A12" s="52" t="s">
        <v>239</v>
      </c>
      <c r="B12" s="228">
        <f>+(B9-B7)/B7</f>
        <v>-0.18008125693313642</v>
      </c>
      <c r="C12" s="228">
        <f>+(C9-C7)/C7</f>
        <v>9.7670188007602271E-2</v>
      </c>
      <c r="D12" s="67"/>
      <c r="E12" s="228">
        <f>+(E9-E7)/E7</f>
        <v>0.1097681573453466</v>
      </c>
      <c r="F12" s="228">
        <f>+(F9-F7)/F7</f>
        <v>0.10865915594082924</v>
      </c>
      <c r="G12" s="228">
        <f>+(G9-G7)/G7</f>
        <v>8.9412524209167246E-2</v>
      </c>
      <c r="H12" s="228">
        <f>+(H9-H7)/H7</f>
        <v>9.693854424469886E-2</v>
      </c>
      <c r="I12" s="67"/>
      <c r="J12" s="228">
        <f>+(J9-J7)/J7</f>
        <v>9.8456087066565362E-2</v>
      </c>
      <c r="K12" s="67"/>
      <c r="L12" s="228">
        <f>+(L9-L7)/L7</f>
        <v>7.1080817916260919E-2</v>
      </c>
      <c r="M12" s="228">
        <f>+(M9-M7)/M7</f>
        <v>8.0363912054586845E-2</v>
      </c>
      <c r="N12" s="228">
        <f>+(N9-N7)/N7</f>
        <v>1.3932179203124362E-2</v>
      </c>
      <c r="O12" s="228">
        <f>+(O9-O7)/O7</f>
        <v>9.5447153101379398E-2</v>
      </c>
      <c r="P12" s="67"/>
      <c r="Q12" s="228">
        <f>+(Q9-Q7)/Q7</f>
        <v>6.3682510383018059E-2</v>
      </c>
      <c r="S12" s="228">
        <f>+(S9-S7)/S7</f>
        <v>-4.774231722199624E-2</v>
      </c>
      <c r="T12" s="228">
        <f>+(T9-T7)/T7</f>
        <v>-6.0858163003127519E-2</v>
      </c>
      <c r="U12" s="228">
        <f>+(U9-U7)/U7</f>
        <v>4.7404400968849097E-2</v>
      </c>
      <c r="V12" s="228">
        <f>+(V9-V7)/V7</f>
        <v>-4.7582175074528499E-2</v>
      </c>
      <c r="X12" s="228">
        <f>+(X9-X7)/X7</f>
        <v>-2.867806146892762E-2</v>
      </c>
    </row>
    <row r="13" spans="1:27" ht="16.5" x14ac:dyDescent="0.25">
      <c r="A13" s="3"/>
      <c r="D13" s="51"/>
      <c r="I13" s="51"/>
      <c r="K13" s="51"/>
      <c r="P13" s="51"/>
    </row>
    <row r="14" spans="1:27" ht="16.5" x14ac:dyDescent="0.25">
      <c r="A14" s="212" t="s">
        <v>87</v>
      </c>
      <c r="D14" s="51"/>
      <c r="I14" s="51"/>
      <c r="K14" s="51"/>
      <c r="P14" s="51"/>
      <c r="AA14" s="13" t="s">
        <v>11</v>
      </c>
    </row>
    <row r="15" spans="1:27" s="52" customFormat="1" ht="16.5" x14ac:dyDescent="0.25">
      <c r="A15" s="52" t="s">
        <v>243</v>
      </c>
      <c r="B15" s="231">
        <v>436.34300000000002</v>
      </c>
      <c r="C15" s="231">
        <f>+B16</f>
        <v>356.53300000000002</v>
      </c>
      <c r="D15" s="55"/>
      <c r="E15" s="231">
        <v>91.034000000000006</v>
      </c>
      <c r="F15" s="231">
        <v>94.736000000000004</v>
      </c>
      <c r="G15" s="231">
        <v>99.254000000000005</v>
      </c>
      <c r="H15" s="231">
        <v>110.396</v>
      </c>
      <c r="I15" s="55"/>
      <c r="J15" s="231">
        <f>+C16</f>
        <v>395.42</v>
      </c>
      <c r="K15" s="55"/>
      <c r="L15" s="231">
        <f>+E16</f>
        <v>102.795</v>
      </c>
      <c r="M15" s="231">
        <f t="shared" ref="M15:O15" si="1">+F16</f>
        <v>105.545</v>
      </c>
      <c r="N15" s="231">
        <f t="shared" si="1"/>
        <v>106.54</v>
      </c>
      <c r="O15" s="231">
        <f t="shared" si="1"/>
        <v>118.873</v>
      </c>
      <c r="P15" s="55"/>
      <c r="Q15" s="231">
        <f>+J16</f>
        <v>433.75299999999999</v>
      </c>
      <c r="R15" s="102"/>
      <c r="S15" s="231">
        <f>+L16</f>
        <v>108.291</v>
      </c>
      <c r="T15" s="231">
        <f>+M16</f>
        <v>112.893</v>
      </c>
      <c r="U15" s="231">
        <f>+N16</f>
        <v>106.931</v>
      </c>
      <c r="V15" s="231">
        <f>+O16</f>
        <v>134.702</v>
      </c>
      <c r="X15" s="231">
        <f>+Q16</f>
        <v>462.81700000000001</v>
      </c>
      <c r="Y15" s="102"/>
      <c r="Z15" s="102"/>
      <c r="AA15" s="102"/>
    </row>
    <row r="16" spans="1:27" s="52" customFormat="1" ht="16.5" x14ac:dyDescent="0.25">
      <c r="A16" s="52" t="s">
        <v>244</v>
      </c>
      <c r="B16" s="231">
        <v>356.53300000000002</v>
      </c>
      <c r="C16" s="231">
        <v>395.42</v>
      </c>
      <c r="D16" s="55"/>
      <c r="E16" s="231">
        <v>102.795</v>
      </c>
      <c r="F16" s="231">
        <v>105.545</v>
      </c>
      <c r="G16" s="231">
        <v>106.54</v>
      </c>
      <c r="H16" s="231">
        <v>118.873</v>
      </c>
      <c r="I16" s="55"/>
      <c r="J16" s="231">
        <v>433.75299999999999</v>
      </c>
      <c r="K16" s="55"/>
      <c r="L16" s="231">
        <v>108.291</v>
      </c>
      <c r="M16" s="231">
        <v>112.893</v>
      </c>
      <c r="N16" s="231">
        <f>+'CIS Revenue Metrics'!N16</f>
        <v>106.931</v>
      </c>
      <c r="O16" s="231">
        <f>+'CIS Revenue Metrics'!O16</f>
        <v>134.702</v>
      </c>
      <c r="P16" s="60"/>
      <c r="Q16" s="231">
        <f>+'CIS Revenue Metrics'!Q16</f>
        <v>462.81700000000001</v>
      </c>
      <c r="R16" s="102"/>
      <c r="S16" s="231">
        <f>+'CIS Revenue Metrics'!S16</f>
        <v>102.52200000000001</v>
      </c>
      <c r="T16" s="231">
        <f>+'CIS Revenue Metrics'!T16</f>
        <v>106.267</v>
      </c>
      <c r="U16" s="231">
        <f>+'CIS Revenue Metrics'!U16</f>
        <v>113.67099999999999</v>
      </c>
      <c r="V16" s="231">
        <f>+'CIS Revenue Metrics'!V16</f>
        <v>124.56700000000001</v>
      </c>
      <c r="X16" s="231">
        <f>+'CIS Revenue Metrics'!X16</f>
        <v>447.02699999999999</v>
      </c>
      <c r="Y16" s="102"/>
      <c r="Z16" s="102"/>
      <c r="AA16" s="102"/>
    </row>
    <row r="17" spans="1:27" s="52" customFormat="1" ht="16.5" x14ac:dyDescent="0.25">
      <c r="A17" s="52" t="s">
        <v>283</v>
      </c>
      <c r="B17" s="231">
        <v>357</v>
      </c>
      <c r="C17" s="231">
        <v>392</v>
      </c>
      <c r="D17" s="55"/>
      <c r="E17" s="231">
        <v>101</v>
      </c>
      <c r="F17" s="231">
        <v>105</v>
      </c>
      <c r="G17" s="231">
        <v>108</v>
      </c>
      <c r="H17" s="231">
        <v>121</v>
      </c>
      <c r="I17" s="55"/>
      <c r="J17" s="231">
        <v>434</v>
      </c>
      <c r="K17" s="55"/>
      <c r="L17" s="231">
        <v>110</v>
      </c>
      <c r="M17" s="231">
        <v>114</v>
      </c>
      <c r="N17" s="231">
        <v>108</v>
      </c>
      <c r="O17" s="231">
        <v>135</v>
      </c>
      <c r="P17" s="60"/>
      <c r="Q17" s="231">
        <v>467</v>
      </c>
      <c r="R17" s="102"/>
      <c r="S17" s="231">
        <v>104</v>
      </c>
      <c r="T17" s="231">
        <v>108</v>
      </c>
      <c r="U17" s="231">
        <v>113</v>
      </c>
      <c r="V17" s="231">
        <v>124</v>
      </c>
      <c r="X17" s="231">
        <v>448</v>
      </c>
      <c r="Y17" s="102"/>
      <c r="Z17" s="102"/>
      <c r="AA17" s="102"/>
    </row>
    <row r="18" spans="1:27" s="52" customFormat="1" ht="16.5" x14ac:dyDescent="0.25">
      <c r="A18" s="52" t="s">
        <v>237</v>
      </c>
      <c r="B18" s="229">
        <f>+(B16-B15)/B15</f>
        <v>-0.18290656662304655</v>
      </c>
      <c r="C18" s="229">
        <f>+(C16-C15)/C15</f>
        <v>0.1090698476718845</v>
      </c>
      <c r="D18" s="60"/>
      <c r="E18" s="229">
        <f>+(E16-E15)/E15</f>
        <v>0.12919348814728557</v>
      </c>
      <c r="F18" s="229">
        <f>+(F16-F15)/F15</f>
        <v>0.11409601418679274</v>
      </c>
      <c r="G18" s="229">
        <f>+(G16-G15)/G15</f>
        <v>7.3407620851552599E-2</v>
      </c>
      <c r="H18" s="229">
        <f>+(H16-H15)/H15</f>
        <v>7.678720243487086E-2</v>
      </c>
      <c r="I18" s="60"/>
      <c r="J18" s="229">
        <f>+(J16-J15)/J15</f>
        <v>9.6942491527995472E-2</v>
      </c>
      <c r="K18" s="60"/>
      <c r="L18" s="229">
        <f>+(L16-L15)/L15</f>
        <v>5.3465635488107351E-2</v>
      </c>
      <c r="M18" s="229">
        <f>+(M16-M15)/M15</f>
        <v>6.9619593538301189E-2</v>
      </c>
      <c r="N18" s="229">
        <f>+(N16-N15)/N15</f>
        <v>3.6699831049370295E-3</v>
      </c>
      <c r="O18" s="229">
        <f>+(O16-O15)/O15</f>
        <v>0.13315891750018921</v>
      </c>
      <c r="P18" s="60"/>
      <c r="Q18" s="229">
        <f>+(Q16-Q15)/Q15</f>
        <v>6.7005876616415383E-2</v>
      </c>
      <c r="R18" s="102"/>
      <c r="S18" s="229">
        <f>+(S16-S15)/S15</f>
        <v>-5.3273125190458959E-2</v>
      </c>
      <c r="T18" s="229">
        <f>+(T16-T15)/T15</f>
        <v>-5.8692744457140872E-2</v>
      </c>
      <c r="U18" s="229">
        <f>+(U16-U15)/U15</f>
        <v>6.3031300558303902E-2</v>
      </c>
      <c r="V18" s="229">
        <f>+(V16-V15)/V15</f>
        <v>-7.5240159760062889E-2</v>
      </c>
      <c r="X18" s="229">
        <f>+(X16-X15)/X15</f>
        <v>-3.4117156457087836E-2</v>
      </c>
      <c r="Y18" s="102"/>
      <c r="Z18" s="102"/>
      <c r="AA18" s="102"/>
    </row>
    <row r="19" spans="1:27" s="52" customFormat="1" ht="16.5" x14ac:dyDescent="0.25">
      <c r="A19" s="52" t="s">
        <v>238</v>
      </c>
      <c r="B19" s="227">
        <f>+B20-B18</f>
        <v>1.0702589476627167E-3</v>
      </c>
      <c r="C19" s="227">
        <f>+C20-C18</f>
        <v>-9.5923799479992466E-3</v>
      </c>
      <c r="D19" s="67"/>
      <c r="E19" s="227">
        <f>+E20-E18</f>
        <v>-1.9717907594964529E-2</v>
      </c>
      <c r="F19" s="227">
        <f>+F20-F18</f>
        <v>-5.7528289140348077E-3</v>
      </c>
      <c r="G19" s="227">
        <f>+G20-G18</f>
        <v>1.4709734620267118E-2</v>
      </c>
      <c r="H19" s="227">
        <f>+H20-H18</f>
        <v>1.926700242762415E-2</v>
      </c>
      <c r="I19" s="67"/>
      <c r="J19" s="227">
        <f>+J20-J18</f>
        <v>6.2465226847406574E-4</v>
      </c>
      <c r="K19" s="67"/>
      <c r="L19" s="227">
        <f>+L20-L18</f>
        <v>1.6625322243299802E-2</v>
      </c>
      <c r="M19" s="227">
        <f>+M20-M18</f>
        <v>1.0488417262778896E-2</v>
      </c>
      <c r="N19" s="227">
        <f>+N20-N18</f>
        <v>1.0033790125774381E-2</v>
      </c>
      <c r="O19" s="227">
        <f>+O20-O18</f>
        <v>2.5068770873117041E-3</v>
      </c>
      <c r="P19" s="67"/>
      <c r="Q19" s="227">
        <f>+Q20-Q18</f>
        <v>9.6437373343815358E-3</v>
      </c>
      <c r="R19" s="102"/>
      <c r="S19" s="227">
        <f>+(S20-S18)-0.001</f>
        <v>1.2648410301871756E-2</v>
      </c>
      <c r="T19" s="227">
        <f>+(T20-T18)+0.001</f>
        <v>1.6350818917027665E-2</v>
      </c>
      <c r="U19" s="227">
        <f>+(U20-U18)</f>
        <v>-6.2750745808043684E-3</v>
      </c>
      <c r="V19" s="227">
        <f>+(V20-V18)</f>
        <v>-4.2092916215052956E-3</v>
      </c>
      <c r="X19" s="227">
        <f>+X20-X18</f>
        <v>2.1023428266464181E-3</v>
      </c>
      <c r="Y19" s="102"/>
      <c r="Z19" s="102"/>
      <c r="AA19" s="102"/>
    </row>
    <row r="20" spans="1:27" s="52" customFormat="1" ht="16.5" x14ac:dyDescent="0.25">
      <c r="A20" s="52" t="s">
        <v>239</v>
      </c>
      <c r="B20" s="228">
        <f>+(B17-B15)/B15</f>
        <v>-0.18183630767538383</v>
      </c>
      <c r="C20" s="228">
        <f>+(C17-C15)/C15</f>
        <v>9.9477467723885257E-2</v>
      </c>
      <c r="D20" s="67"/>
      <c r="E20" s="228">
        <f>+(E17-E15)/E15</f>
        <v>0.10947558055232104</v>
      </c>
      <c r="F20" s="228">
        <f>+(F17-F15)/F15</f>
        <v>0.10834318527275794</v>
      </c>
      <c r="G20" s="228">
        <f>+(G17-G15)/G15</f>
        <v>8.8117355471819717E-2</v>
      </c>
      <c r="H20" s="228">
        <f>+(H17-H15)/H15</f>
        <v>9.605420486249501E-2</v>
      </c>
      <c r="I20" s="67"/>
      <c r="J20" s="228">
        <f>+(J17-J15)/J15</f>
        <v>9.7567143796469538E-2</v>
      </c>
      <c r="K20" s="67"/>
      <c r="L20" s="228">
        <f>+(L17-L15)/L15</f>
        <v>7.0090957731407152E-2</v>
      </c>
      <c r="M20" s="228">
        <f>+(M17-M15)/M15</f>
        <v>8.0108010801080085E-2</v>
      </c>
      <c r="N20" s="228">
        <f>+(N17-N15)/N15</f>
        <v>1.3703773230711411E-2</v>
      </c>
      <c r="O20" s="228">
        <f>+(O17-O15)/O15</f>
        <v>0.13566579458750092</v>
      </c>
      <c r="P20" s="67"/>
      <c r="Q20" s="228">
        <f>+(Q17-Q15)/Q15</f>
        <v>7.6649613950796919E-2</v>
      </c>
      <c r="R20" s="102"/>
      <c r="S20" s="228">
        <f>+(S17-S15)/S15</f>
        <v>-3.9624714888587202E-2</v>
      </c>
      <c r="T20" s="228">
        <f>+(T17-T15)/T15</f>
        <v>-4.3341925540113208E-2</v>
      </c>
      <c r="U20" s="228">
        <f>+(U17-U15)/U15</f>
        <v>5.6756225977499533E-2</v>
      </c>
      <c r="V20" s="228">
        <f>+(V17-V15)/V15</f>
        <v>-7.9449451381568184E-2</v>
      </c>
      <c r="X20" s="228">
        <f>+(X17-X15)/X15</f>
        <v>-3.2014813630441417E-2</v>
      </c>
      <c r="Y20" s="102"/>
      <c r="Z20" s="102"/>
      <c r="AA20" s="102"/>
    </row>
    <row r="21" spans="1:27" ht="16.5" x14ac:dyDescent="0.25">
      <c r="D21" s="47"/>
      <c r="I21" s="47"/>
      <c r="K21" s="47"/>
      <c r="P21" s="47"/>
    </row>
    <row r="22" spans="1:27" ht="16.5" x14ac:dyDescent="0.25">
      <c r="D22" s="47"/>
      <c r="I22" s="47"/>
      <c r="K22" s="47"/>
      <c r="P22" s="47"/>
    </row>
    <row r="23" spans="1:27" ht="16.5" x14ac:dyDescent="0.25">
      <c r="D23" s="52"/>
      <c r="I23" s="52"/>
      <c r="K23" s="52"/>
      <c r="P23" s="52"/>
    </row>
    <row r="24" spans="1:27" ht="16.5" x14ac:dyDescent="0.25">
      <c r="D24" s="52"/>
      <c r="I24" s="52"/>
      <c r="K24" s="52"/>
      <c r="P24" s="52"/>
    </row>
    <row r="25" spans="1:27" ht="16.5" x14ac:dyDescent="0.25">
      <c r="D25" s="52"/>
      <c r="I25" s="52"/>
      <c r="K25" s="52"/>
      <c r="P25" s="52"/>
    </row>
    <row r="26" spans="1:27" s="13" customFormat="1" ht="16.5" x14ac:dyDescent="0.25">
      <c r="D26" s="52"/>
      <c r="I26" s="52"/>
      <c r="K26" s="52"/>
      <c r="P26" s="52"/>
      <c r="W26" s="3"/>
    </row>
  </sheetData>
  <mergeCells count="3">
    <mergeCell ref="E3:H3"/>
    <mergeCell ref="L3:O3"/>
    <mergeCell ref="S3:V3"/>
  </mergeCells>
  <pageMargins left="0.25" right="0.25" top="0.75" bottom="0.75" header="0.3" footer="0.3"/>
  <pageSetup scale="43"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1B65A9"/>
    <pageSetUpPr fitToPage="1"/>
  </sheetPr>
  <dimension ref="A1:AA29"/>
  <sheetViews>
    <sheetView zoomScale="65" zoomScaleNormal="65" zoomScaleSheetLayoutView="90" workbookViewId="0">
      <pane xSplit="1" ySplit="4" topLeftCell="B5" activePane="bottomRight" state="frozen"/>
      <selection activeCell="B2" sqref="B2"/>
      <selection pane="topRight" activeCell="B2" sqref="B2"/>
      <selection pane="bottomLeft" activeCell="B2" sqref="B2"/>
      <selection pane="bottomRight" activeCell="B5" sqref="B5"/>
    </sheetView>
  </sheetViews>
  <sheetFormatPr defaultColWidth="9.140625" defaultRowHeight="11.25" outlineLevelCol="2" x14ac:dyDescent="0.2"/>
  <cols>
    <col min="1" max="1" width="64.7109375" style="13" bestFit="1" customWidth="1"/>
    <col min="2" max="3" width="20.7109375" style="13" customWidth="1" outlineLevel="1"/>
    <col min="4" max="4" width="1.7109375" style="3" hidden="1" customWidth="1" outlineLevel="2"/>
    <col min="5" max="8" width="20.7109375" style="13" hidden="1" customWidth="1" outlineLevel="2"/>
    <col min="9" max="9" width="1.7109375" style="3" hidden="1" customWidth="1" outlineLevel="2"/>
    <col min="10" max="10" width="20.7109375" style="13" customWidth="1" outlineLevel="1" collapsed="1"/>
    <col min="11" max="11" width="1.7109375" style="3" customWidth="1"/>
    <col min="12" max="15" width="20.7109375" style="13" customWidth="1" outlineLevel="1"/>
    <col min="16" max="16" width="1.7109375" style="3" customWidth="1"/>
    <col min="17" max="17" width="20.7109375" style="13" customWidth="1"/>
    <col min="18" max="18" width="2.7109375" style="13" customWidth="1"/>
    <col min="19" max="22" width="20.7109375" style="13" customWidth="1"/>
    <col min="23" max="23" width="1.85546875" style="3" customWidth="1"/>
    <col min="24" max="24" width="20.7109375" style="13" customWidth="1"/>
    <col min="25" max="26" width="14.85546875" style="13" customWidth="1"/>
    <col min="27" max="27" width="3.85546875" style="13" customWidth="1"/>
    <col min="28" max="28" width="9.28515625" style="3" bestFit="1" customWidth="1"/>
    <col min="29" max="16384" width="9.140625" style="3"/>
  </cols>
  <sheetData>
    <row r="1" spans="1:27" ht="18" x14ac:dyDescent="0.25">
      <c r="A1" s="198" t="s">
        <v>180</v>
      </c>
    </row>
    <row r="2" spans="1:27" x14ac:dyDescent="0.2">
      <c r="A2" s="11"/>
      <c r="B2" s="11"/>
      <c r="C2" s="12"/>
    </row>
    <row r="3" spans="1:27" s="24" customFormat="1" ht="30" customHeight="1" x14ac:dyDescent="0.25">
      <c r="A3" s="78"/>
      <c r="B3" s="196" t="s">
        <v>31</v>
      </c>
      <c r="C3" s="196" t="s">
        <v>31</v>
      </c>
      <c r="D3" s="82"/>
      <c r="E3" s="354" t="s">
        <v>1</v>
      </c>
      <c r="F3" s="354"/>
      <c r="G3" s="354"/>
      <c r="H3" s="354"/>
      <c r="I3" s="82"/>
      <c r="J3" s="196" t="s">
        <v>31</v>
      </c>
      <c r="K3" s="82"/>
      <c r="L3" s="354" t="s">
        <v>1</v>
      </c>
      <c r="M3" s="354"/>
      <c r="N3" s="354"/>
      <c r="O3" s="354"/>
      <c r="P3" s="82"/>
      <c r="Q3" s="262" t="s">
        <v>31</v>
      </c>
      <c r="S3" s="354" t="s">
        <v>1</v>
      </c>
      <c r="T3" s="354"/>
      <c r="U3" s="354"/>
      <c r="V3" s="354"/>
      <c r="X3" s="303" t="s">
        <v>31</v>
      </c>
    </row>
    <row r="4" spans="1:27" s="24" customFormat="1" ht="30" customHeight="1" x14ac:dyDescent="0.25">
      <c r="A4" s="83" t="s">
        <v>0</v>
      </c>
      <c r="B4" s="84" t="s">
        <v>155</v>
      </c>
      <c r="C4" s="84" t="s">
        <v>159</v>
      </c>
      <c r="D4" s="82"/>
      <c r="E4" s="84" t="s">
        <v>156</v>
      </c>
      <c r="F4" s="84" t="s">
        <v>157</v>
      </c>
      <c r="G4" s="84" t="s">
        <v>158</v>
      </c>
      <c r="H4" s="84" t="s">
        <v>100</v>
      </c>
      <c r="I4" s="82"/>
      <c r="J4" s="84" t="s">
        <v>100</v>
      </c>
      <c r="K4" s="82"/>
      <c r="L4" s="84" t="s">
        <v>148</v>
      </c>
      <c r="M4" s="84" t="s">
        <v>149</v>
      </c>
      <c r="N4" s="84" t="s">
        <v>109</v>
      </c>
      <c r="O4" s="84" t="s">
        <v>314</v>
      </c>
      <c r="P4" s="82"/>
      <c r="Q4" s="84" t="s">
        <v>314</v>
      </c>
      <c r="S4" s="84" t="s">
        <v>327</v>
      </c>
      <c r="T4" s="84" t="s">
        <v>330</v>
      </c>
      <c r="U4" s="84" t="s">
        <v>338</v>
      </c>
      <c r="V4" s="84" t="s">
        <v>346</v>
      </c>
      <c r="X4" s="84" t="s">
        <v>346</v>
      </c>
    </row>
    <row r="5" spans="1:27" s="24" customFormat="1" ht="14.25" x14ac:dyDescent="0.2">
      <c r="B5" s="99"/>
      <c r="C5" s="99"/>
      <c r="E5" s="99"/>
      <c r="F5" s="99"/>
      <c r="G5" s="99"/>
      <c r="H5" s="99"/>
      <c r="J5" s="99"/>
      <c r="L5" s="99"/>
      <c r="M5" s="99"/>
      <c r="N5" s="99"/>
      <c r="O5" s="99"/>
      <c r="Q5" s="99"/>
      <c r="R5" s="99"/>
      <c r="S5" s="99"/>
      <c r="T5" s="99"/>
      <c r="U5" s="99"/>
      <c r="V5" s="99"/>
      <c r="X5" s="99"/>
      <c r="Y5" s="99"/>
      <c r="Z5" s="99"/>
      <c r="AA5" s="99"/>
    </row>
    <row r="6" spans="1:27" s="52" customFormat="1" ht="16.5" x14ac:dyDescent="0.25">
      <c r="A6" s="62" t="s">
        <v>32</v>
      </c>
      <c r="B6" s="89">
        <v>356.209</v>
      </c>
      <c r="C6" s="89">
        <v>395.1</v>
      </c>
      <c r="E6" s="89">
        <v>102.7</v>
      </c>
      <c r="F6" s="89">
        <v>105.52</v>
      </c>
      <c r="G6" s="89">
        <v>106.51600000000001</v>
      </c>
      <c r="H6" s="89">
        <v>118.673</v>
      </c>
      <c r="J6" s="89">
        <v>433.4</v>
      </c>
      <c r="L6" s="89">
        <v>108.164</v>
      </c>
      <c r="M6" s="89">
        <v>112.869</v>
      </c>
      <c r="N6" s="89">
        <v>106.931</v>
      </c>
      <c r="O6" s="89">
        <v>129.14500000000001</v>
      </c>
      <c r="Q6" s="89">
        <v>457.10899999999998</v>
      </c>
      <c r="R6" s="102"/>
      <c r="S6" s="89">
        <f>'CIS Revenue Metrics'!S8</f>
        <v>101.43</v>
      </c>
      <c r="T6" s="89">
        <f>'CIS Revenue Metrics'!T8</f>
        <v>105.029</v>
      </c>
      <c r="U6" s="89">
        <f>'CIS Revenue Metrics'!U8</f>
        <v>112.979</v>
      </c>
      <c r="V6" s="89">
        <f>'CIS Revenue Metrics'!V8</f>
        <v>124.02000000000001</v>
      </c>
      <c r="X6" s="89">
        <f>+S6+T6+U6+V6</f>
        <v>443.45799999999997</v>
      </c>
      <c r="Y6" s="102"/>
      <c r="Z6" s="102"/>
      <c r="AA6" s="102"/>
    </row>
    <row r="7" spans="1:27" s="52" customFormat="1" ht="16.5" x14ac:dyDescent="0.25">
      <c r="B7" s="102"/>
      <c r="C7" s="102"/>
      <c r="E7" s="102"/>
      <c r="F7" s="102"/>
      <c r="G7" s="102"/>
      <c r="H7" s="102"/>
      <c r="J7" s="102"/>
      <c r="L7" s="102"/>
      <c r="M7" s="102"/>
      <c r="N7" s="102"/>
      <c r="O7" s="102"/>
      <c r="Q7" s="102"/>
      <c r="R7" s="102"/>
      <c r="S7" s="102"/>
      <c r="T7" s="102"/>
      <c r="U7" s="102"/>
      <c r="V7" s="102"/>
      <c r="X7" s="102"/>
      <c r="Y7" s="102"/>
      <c r="Z7" s="102"/>
      <c r="AA7" s="102"/>
    </row>
    <row r="8" spans="1:27" s="52" customFormat="1" ht="16.5" x14ac:dyDescent="0.25">
      <c r="A8" s="52" t="s">
        <v>141</v>
      </c>
      <c r="B8" s="103">
        <v>84.120999999999995</v>
      </c>
      <c r="C8" s="103">
        <v>92.3</v>
      </c>
      <c r="E8" s="103">
        <v>25.012</v>
      </c>
      <c r="F8" s="103">
        <v>23.373000000000001</v>
      </c>
      <c r="G8" s="103">
        <v>22.911999999999999</v>
      </c>
      <c r="H8" s="103">
        <v>19.256</v>
      </c>
      <c r="J8" s="103">
        <v>90.552999999999997</v>
      </c>
      <c r="L8" s="103">
        <v>17.850000000000001</v>
      </c>
      <c r="M8" s="103">
        <v>18.654</v>
      </c>
      <c r="N8" s="103">
        <v>20.088000000000001</v>
      </c>
      <c r="O8" s="103">
        <v>26.693999999999999</v>
      </c>
      <c r="Q8" s="103">
        <v>83.290999999999997</v>
      </c>
      <c r="R8" s="102"/>
      <c r="S8" s="103">
        <v>13.500999999999999</v>
      </c>
      <c r="T8" s="103">
        <v>15.327</v>
      </c>
      <c r="U8" s="103">
        <v>11.321999999999999</v>
      </c>
      <c r="V8" s="103">
        <v>16.369</v>
      </c>
      <c r="X8" s="103">
        <f>+S8+T8+U8+V8</f>
        <v>56.518999999999998</v>
      </c>
      <c r="Y8" s="102"/>
      <c r="Z8" s="102"/>
      <c r="AA8" s="102"/>
    </row>
    <row r="9" spans="1:27" s="52" customFormat="1" ht="16.5" x14ac:dyDescent="0.25">
      <c r="A9" s="52" t="s">
        <v>142</v>
      </c>
      <c r="B9" s="103">
        <v>52.512999999999998</v>
      </c>
      <c r="C9" s="103">
        <v>62.3</v>
      </c>
      <c r="E9" s="103">
        <v>16.818000000000001</v>
      </c>
      <c r="F9" s="103">
        <v>17.838000000000001</v>
      </c>
      <c r="G9" s="103">
        <v>17.239999999999998</v>
      </c>
      <c r="H9" s="103">
        <v>18.292999999999999</v>
      </c>
      <c r="J9" s="103">
        <v>70.227999999999994</v>
      </c>
      <c r="L9" s="103">
        <v>18.675999999999998</v>
      </c>
      <c r="M9" s="103">
        <v>18.922000000000001</v>
      </c>
      <c r="N9" s="103">
        <v>16.530999999999999</v>
      </c>
      <c r="O9" s="103">
        <v>16.641999999999999</v>
      </c>
      <c r="Q9" s="103">
        <v>70.768000000000001</v>
      </c>
      <c r="R9" s="102"/>
      <c r="S9" s="103">
        <v>17.844000000000001</v>
      </c>
      <c r="T9" s="103">
        <v>14.801</v>
      </c>
      <c r="U9" s="103">
        <v>17.122</v>
      </c>
      <c r="V9" s="103">
        <v>18.731999999999999</v>
      </c>
      <c r="X9" s="103">
        <f>+S9+T9+U9+V9</f>
        <v>68.498999999999995</v>
      </c>
      <c r="Y9" s="102"/>
      <c r="Z9" s="102"/>
      <c r="AA9" s="102"/>
    </row>
    <row r="10" spans="1:27" s="52" customFormat="1" ht="16.5" x14ac:dyDescent="0.25">
      <c r="A10" s="52" t="s">
        <v>27</v>
      </c>
      <c r="B10" s="103">
        <v>16.206</v>
      </c>
      <c r="C10" s="103">
        <v>16.006</v>
      </c>
      <c r="E10" s="103">
        <v>3.161</v>
      </c>
      <c r="F10" s="103">
        <v>1.4159999999999999</v>
      </c>
      <c r="G10" s="103">
        <v>1.4</v>
      </c>
      <c r="H10" s="103">
        <v>1.4810000000000001</v>
      </c>
      <c r="J10" s="103">
        <v>7.4180000000000001</v>
      </c>
      <c r="L10" s="103">
        <v>1.319</v>
      </c>
      <c r="M10" s="103">
        <v>0.36299999999999999</v>
      </c>
      <c r="N10" s="103">
        <v>0.36299999999999999</v>
      </c>
      <c r="O10" s="103">
        <v>0.36099999999999999</v>
      </c>
      <c r="Q10" s="103">
        <v>2.4060000000000001</v>
      </c>
      <c r="R10" s="102"/>
      <c r="S10" s="103">
        <v>0.253</v>
      </c>
      <c r="T10" s="103">
        <v>0.23899999999999999</v>
      </c>
      <c r="U10" s="103">
        <v>0.22500000000000001</v>
      </c>
      <c r="V10" s="103">
        <v>0.22500000000000001</v>
      </c>
      <c r="X10" s="103">
        <f>+S10+T10+U10+V10</f>
        <v>0.94199999999999995</v>
      </c>
      <c r="Y10" s="102"/>
      <c r="Z10" s="102"/>
      <c r="AA10" s="102"/>
    </row>
    <row r="11" spans="1:27" s="52" customFormat="1" ht="16.5" x14ac:dyDescent="0.25">
      <c r="A11" s="52" t="s">
        <v>197</v>
      </c>
      <c r="B11" s="103">
        <v>1.5109999999999999</v>
      </c>
      <c r="C11" s="103">
        <v>1.6</v>
      </c>
      <c r="E11" s="103">
        <v>0.16200000000000001</v>
      </c>
      <c r="F11" s="103">
        <v>0.371</v>
      </c>
      <c r="G11" s="103">
        <v>0.26100000000000001</v>
      </c>
      <c r="H11" s="103">
        <v>0.51400000000000001</v>
      </c>
      <c r="J11" s="103">
        <v>1.3080000000000001</v>
      </c>
      <c r="L11" s="103">
        <v>0.32</v>
      </c>
      <c r="M11" s="103">
        <v>0.46400000000000002</v>
      </c>
      <c r="N11" s="103">
        <v>0.40300000000000002</v>
      </c>
      <c r="O11" s="103">
        <v>0.67900000000000005</v>
      </c>
      <c r="Q11" s="103">
        <v>1.8660000000000001</v>
      </c>
      <c r="R11" s="102"/>
      <c r="S11" s="103">
        <v>0.219</v>
      </c>
      <c r="T11" s="103">
        <v>0.39200000000000002</v>
      </c>
      <c r="U11" s="103">
        <v>0.52500000000000002</v>
      </c>
      <c r="V11" s="103">
        <v>7.9000000000000001E-2</v>
      </c>
      <c r="X11" s="103">
        <f>+S11+T11+U11+V11</f>
        <v>1.2150000000000001</v>
      </c>
      <c r="Y11" s="102"/>
      <c r="Z11" s="102"/>
      <c r="AA11" s="102"/>
    </row>
    <row r="12" spans="1:27" s="52" customFormat="1" ht="16.5" x14ac:dyDescent="0.25">
      <c r="A12" s="52" t="s">
        <v>198</v>
      </c>
      <c r="B12" s="104">
        <v>5.0570000000000004</v>
      </c>
      <c r="C12" s="104">
        <v>4.008</v>
      </c>
      <c r="E12" s="104">
        <v>1.1759999999999999</v>
      </c>
      <c r="F12" s="104">
        <v>0.92</v>
      </c>
      <c r="G12" s="104">
        <v>1.3</v>
      </c>
      <c r="H12" s="104">
        <v>1.1379999999999999</v>
      </c>
      <c r="J12" s="104">
        <v>4.5140000000000002</v>
      </c>
      <c r="L12" s="104">
        <v>1.135</v>
      </c>
      <c r="M12" s="104">
        <v>1.5780000000000001</v>
      </c>
      <c r="N12" s="104">
        <v>1.389</v>
      </c>
      <c r="O12" s="104">
        <v>1.302</v>
      </c>
      <c r="Q12" s="104">
        <v>5.4039999999999999</v>
      </c>
      <c r="R12" s="102"/>
      <c r="S12" s="104">
        <v>0.90400000000000003</v>
      </c>
      <c r="T12" s="104">
        <v>0.95099999999999996</v>
      </c>
      <c r="U12" s="104">
        <v>1.506</v>
      </c>
      <c r="V12" s="104">
        <v>1.089</v>
      </c>
      <c r="X12" s="104">
        <f>+S12+T12+U12+V12</f>
        <v>4.4499999999999993</v>
      </c>
      <c r="Y12" s="102"/>
      <c r="Z12" s="102"/>
      <c r="AA12" s="102"/>
    </row>
    <row r="13" spans="1:27" s="52" customFormat="1" ht="16.5" x14ac:dyDescent="0.25">
      <c r="A13" s="62" t="s">
        <v>33</v>
      </c>
      <c r="B13" s="68">
        <f>SUM(B8:B12)</f>
        <v>159.40799999999996</v>
      </c>
      <c r="C13" s="68">
        <f>SUM(C8:C12)</f>
        <v>176.214</v>
      </c>
      <c r="E13" s="68">
        <f>SUM(E8:E12)</f>
        <v>46.329000000000001</v>
      </c>
      <c r="F13" s="68">
        <f>SUM(F8:F12)</f>
        <v>43.917999999999999</v>
      </c>
      <c r="G13" s="68">
        <f>SUM(G8:G12)</f>
        <v>43.113</v>
      </c>
      <c r="H13" s="68">
        <f>SUM(H8:H12)</f>
        <v>40.682000000000002</v>
      </c>
      <c r="J13" s="68">
        <f>SUM(J8:J12)</f>
        <v>174.02100000000002</v>
      </c>
      <c r="L13" s="68">
        <f>SUM(L8:L12)</f>
        <v>39.299999999999997</v>
      </c>
      <c r="M13" s="68">
        <f>SUM(M8:M12)</f>
        <v>39.981000000000002</v>
      </c>
      <c r="N13" s="68">
        <f>SUM(N8:N12)</f>
        <v>38.774000000000001</v>
      </c>
      <c r="O13" s="68">
        <f>SUM(O8:O12)</f>
        <v>45.677999999999997</v>
      </c>
      <c r="Q13" s="68">
        <f>SUM(Q8:Q12)</f>
        <v>163.73500000000001</v>
      </c>
      <c r="R13" s="102"/>
      <c r="S13" s="68">
        <f>SUM(S8:S12)</f>
        <v>32.721000000000004</v>
      </c>
      <c r="T13" s="68">
        <f>SUM(T8:T12)</f>
        <v>31.71</v>
      </c>
      <c r="U13" s="68">
        <f>SUM(U8:U12)</f>
        <v>30.7</v>
      </c>
      <c r="V13" s="68">
        <f>SUM(V8:V12)</f>
        <v>36.494</v>
      </c>
      <c r="X13" s="68">
        <f>SUM(X8:X12)</f>
        <v>131.625</v>
      </c>
      <c r="Y13" s="102"/>
      <c r="Z13" s="102"/>
      <c r="AA13" s="102"/>
    </row>
    <row r="14" spans="1:27" s="52" customFormat="1" ht="16.5" x14ac:dyDescent="0.25">
      <c r="B14" s="103"/>
      <c r="C14" s="103"/>
      <c r="E14" s="103"/>
      <c r="F14" s="103"/>
      <c r="G14" s="103"/>
      <c r="H14" s="103"/>
      <c r="J14" s="103"/>
      <c r="L14" s="103"/>
      <c r="M14" s="103"/>
      <c r="N14" s="103"/>
      <c r="O14" s="103"/>
      <c r="Q14" s="103"/>
      <c r="R14" s="102"/>
      <c r="S14" s="103"/>
      <c r="T14" s="103"/>
      <c r="U14" s="103"/>
      <c r="V14" s="103"/>
      <c r="X14" s="103"/>
      <c r="Y14" s="102"/>
      <c r="Z14" s="102"/>
      <c r="AA14" s="102"/>
    </row>
    <row r="15" spans="1:27" s="52" customFormat="1" ht="16.5" x14ac:dyDescent="0.25">
      <c r="A15" s="62" t="s">
        <v>8</v>
      </c>
      <c r="B15" s="89">
        <f>+B6-B13</f>
        <v>196.80100000000004</v>
      </c>
      <c r="C15" s="89">
        <f>+C6-C13</f>
        <v>218.88600000000002</v>
      </c>
      <c r="E15" s="89">
        <f>+E6-E13</f>
        <v>56.371000000000002</v>
      </c>
      <c r="F15" s="89">
        <f>+F6-F13</f>
        <v>61.601999999999997</v>
      </c>
      <c r="G15" s="89">
        <f>+G6-G13</f>
        <v>63.403000000000006</v>
      </c>
      <c r="H15" s="89">
        <f>+H6-H13</f>
        <v>77.991</v>
      </c>
      <c r="J15" s="89">
        <f>+J6-J13</f>
        <v>259.37899999999996</v>
      </c>
      <c r="L15" s="89">
        <f>+L6-L13</f>
        <v>68.864000000000004</v>
      </c>
      <c r="M15" s="89">
        <f>+M6-M13</f>
        <v>72.888000000000005</v>
      </c>
      <c r="N15" s="89">
        <f>+N6-N13</f>
        <v>68.156999999999996</v>
      </c>
      <c r="O15" s="89">
        <f>+O6-O13</f>
        <v>83.467000000000013</v>
      </c>
      <c r="Q15" s="89">
        <f>+Q6-Q13</f>
        <v>293.37399999999997</v>
      </c>
      <c r="R15" s="102"/>
      <c r="S15" s="89">
        <f>+S6-S13</f>
        <v>68.709000000000003</v>
      </c>
      <c r="T15" s="89">
        <f>+T6-T13</f>
        <v>73.318999999999988</v>
      </c>
      <c r="U15" s="89">
        <f>+U6-U13</f>
        <v>82.278999999999996</v>
      </c>
      <c r="V15" s="89">
        <f>+V6-V13</f>
        <v>87.52600000000001</v>
      </c>
      <c r="X15" s="89">
        <f>+X6-X13</f>
        <v>311.83299999999997</v>
      </c>
      <c r="Y15" s="102"/>
      <c r="Z15" s="102"/>
      <c r="AA15" s="102"/>
    </row>
    <row r="16" spans="1:27" s="52" customFormat="1" ht="16.5" x14ac:dyDescent="0.25">
      <c r="A16" s="62" t="s">
        <v>9</v>
      </c>
      <c r="B16" s="107">
        <v>0.55200000000000005</v>
      </c>
      <c r="C16" s="107">
        <v>0.55403695267021003</v>
      </c>
      <c r="E16" s="107">
        <v>0.54917234664070103</v>
      </c>
      <c r="F16" s="107">
        <v>0.58388625592417065</v>
      </c>
      <c r="G16" s="107">
        <v>0.59630516431924896</v>
      </c>
      <c r="H16" s="107">
        <v>0.65711878685762426</v>
      </c>
      <c r="J16" s="107">
        <v>0.59852330410706045</v>
      </c>
      <c r="L16" s="107">
        <v>0.63678373382624776</v>
      </c>
      <c r="M16" s="107">
        <v>0.64570416297608502</v>
      </c>
      <c r="N16" s="107">
        <v>0.63700000000000001</v>
      </c>
      <c r="O16" s="107">
        <v>0.64600000000000002</v>
      </c>
      <c r="Q16" s="107">
        <v>0.64200000000000002</v>
      </c>
      <c r="R16" s="102"/>
      <c r="S16" s="107">
        <v>0.67700000000000005</v>
      </c>
      <c r="T16" s="107">
        <v>0.69799999999999995</v>
      </c>
      <c r="U16" s="107">
        <v>0.72799999999999998</v>
      </c>
      <c r="V16" s="107">
        <v>0.70599999999999996</v>
      </c>
      <c r="X16" s="107">
        <v>0.70299999999999996</v>
      </c>
      <c r="Y16" s="102"/>
      <c r="Z16" s="102"/>
      <c r="AA16" s="102"/>
    </row>
    <row r="17" spans="1:27" s="52" customFormat="1" ht="16.5" x14ac:dyDescent="0.25">
      <c r="A17" s="52" t="s">
        <v>42</v>
      </c>
      <c r="B17" s="108">
        <v>0.32400000000000001</v>
      </c>
      <c r="C17" s="108">
        <v>0.4</v>
      </c>
      <c r="E17" s="108">
        <v>0.1</v>
      </c>
      <c r="F17" s="108">
        <v>0</v>
      </c>
      <c r="G17" s="108">
        <v>0</v>
      </c>
      <c r="H17" s="108">
        <v>0.2</v>
      </c>
      <c r="J17" s="108">
        <v>0.4</v>
      </c>
      <c r="L17" s="108">
        <v>0.1</v>
      </c>
      <c r="M17" s="108">
        <v>0</v>
      </c>
      <c r="N17" s="108">
        <v>0</v>
      </c>
      <c r="O17" s="108">
        <v>5.5570000000000004</v>
      </c>
      <c r="Q17" s="108">
        <v>5.7080000000000002</v>
      </c>
      <c r="R17" s="102"/>
      <c r="S17" s="108">
        <f>'CIS Revenue Metrics'!S12</f>
        <v>1.0919999999999987</v>
      </c>
      <c r="T17" s="108">
        <f>'CIS Revenue Metrics'!T12</f>
        <v>1.2379999999999995</v>
      </c>
      <c r="U17" s="108">
        <f>'CIS Revenue Metrics'!U12</f>
        <v>0.69199999999999307</v>
      </c>
      <c r="V17" s="108">
        <f>'CIS Revenue Metrics'!V12</f>
        <v>0.54699999999999704</v>
      </c>
      <c r="X17" s="108">
        <f t="shared" ref="X17:X23" si="0">+S17+T17+U17+V17</f>
        <v>3.5689999999999884</v>
      </c>
      <c r="Y17" s="102"/>
      <c r="Z17" s="102"/>
      <c r="AA17" s="102"/>
    </row>
    <row r="18" spans="1:27" s="52" customFormat="1" ht="16.5" x14ac:dyDescent="0.25">
      <c r="A18" s="52" t="s">
        <v>27</v>
      </c>
      <c r="B18" s="103">
        <f>+B10</f>
        <v>16.206</v>
      </c>
      <c r="C18" s="103">
        <v>16</v>
      </c>
      <c r="E18" s="103">
        <v>3.1</v>
      </c>
      <c r="F18" s="103">
        <v>1.4</v>
      </c>
      <c r="G18" s="103">
        <v>1.4</v>
      </c>
      <c r="H18" s="103">
        <v>1.5</v>
      </c>
      <c r="J18" s="103">
        <v>7.4</v>
      </c>
      <c r="L18" s="103">
        <v>1.3</v>
      </c>
      <c r="M18" s="103">
        <v>0.4</v>
      </c>
      <c r="N18" s="103">
        <v>0.36299999999999999</v>
      </c>
      <c r="O18" s="103">
        <v>0.36099999999999999</v>
      </c>
      <c r="Q18" s="103">
        <v>2.4060000000000001</v>
      </c>
      <c r="R18" s="102"/>
      <c r="S18" s="103">
        <f t="shared" ref="S18:U19" si="1">S10</f>
        <v>0.253</v>
      </c>
      <c r="T18" s="103">
        <f t="shared" si="1"/>
        <v>0.23899999999999999</v>
      </c>
      <c r="U18" s="103">
        <f t="shared" si="1"/>
        <v>0.22500000000000001</v>
      </c>
      <c r="V18" s="103">
        <f t="shared" ref="V18" si="2">V10</f>
        <v>0.22500000000000001</v>
      </c>
      <c r="X18" s="103">
        <f t="shared" si="0"/>
        <v>0.94199999999999995</v>
      </c>
      <c r="Y18" s="102"/>
      <c r="Z18" s="102"/>
      <c r="AA18" s="102"/>
    </row>
    <row r="19" spans="1:27" s="52" customFormat="1" ht="16.5" x14ac:dyDescent="0.25">
      <c r="A19" s="52" t="s">
        <v>197</v>
      </c>
      <c r="B19" s="103">
        <f>+B11</f>
        <v>1.5109999999999999</v>
      </c>
      <c r="C19" s="103">
        <v>1.6</v>
      </c>
      <c r="E19" s="103">
        <v>0.2</v>
      </c>
      <c r="F19" s="103">
        <v>0.3</v>
      </c>
      <c r="G19" s="103">
        <v>0.3</v>
      </c>
      <c r="H19" s="103">
        <v>0.5</v>
      </c>
      <c r="J19" s="103">
        <v>1.3</v>
      </c>
      <c r="L19" s="103">
        <v>0.3</v>
      </c>
      <c r="M19" s="103">
        <v>0.4</v>
      </c>
      <c r="N19" s="103">
        <v>0.40300000000000002</v>
      </c>
      <c r="O19" s="103">
        <v>0.67900000000000005</v>
      </c>
      <c r="Q19" s="103">
        <v>1.8660000000000001</v>
      </c>
      <c r="R19" s="102"/>
      <c r="S19" s="103">
        <f t="shared" si="1"/>
        <v>0.219</v>
      </c>
      <c r="T19" s="103">
        <f t="shared" si="1"/>
        <v>0.39200000000000002</v>
      </c>
      <c r="U19" s="103">
        <f t="shared" si="1"/>
        <v>0.52500000000000002</v>
      </c>
      <c r="V19" s="103">
        <f t="shared" ref="V19" si="3">V11</f>
        <v>7.9000000000000001E-2</v>
      </c>
      <c r="X19" s="103">
        <f t="shared" si="0"/>
        <v>1.2150000000000001</v>
      </c>
      <c r="Y19" s="102"/>
      <c r="Z19" s="102"/>
      <c r="AA19" s="102"/>
    </row>
    <row r="20" spans="1:27" s="52" customFormat="1" ht="16.5" x14ac:dyDescent="0.25">
      <c r="A20" s="52" t="s">
        <v>199</v>
      </c>
      <c r="B20" s="208">
        <v>0</v>
      </c>
      <c r="C20" s="208">
        <v>0</v>
      </c>
      <c r="E20" s="208">
        <v>0</v>
      </c>
      <c r="F20" s="208">
        <v>0</v>
      </c>
      <c r="G20" s="208">
        <v>0</v>
      </c>
      <c r="H20" s="208">
        <v>0.1</v>
      </c>
      <c r="J20" s="208">
        <v>0.1</v>
      </c>
      <c r="L20" s="208">
        <v>0</v>
      </c>
      <c r="M20" s="208">
        <v>0</v>
      </c>
      <c r="N20" s="108">
        <v>1.4999999999999999E-2</v>
      </c>
      <c r="O20" s="108">
        <v>0.02</v>
      </c>
      <c r="Q20" s="108">
        <v>4.2999999999999997E-2</v>
      </c>
      <c r="R20" s="102"/>
      <c r="S20" s="108">
        <v>6.5000000000000002E-2</v>
      </c>
      <c r="T20" s="108">
        <v>1.9E-2</v>
      </c>
      <c r="U20" s="108">
        <v>3.2000000000000001E-2</v>
      </c>
      <c r="V20" s="108">
        <v>6.0000000000000001E-3</v>
      </c>
      <c r="X20" s="108">
        <f t="shared" si="0"/>
        <v>0.12200000000000001</v>
      </c>
      <c r="Y20" s="102"/>
      <c r="Z20" s="102"/>
      <c r="AA20" s="102"/>
    </row>
    <row r="21" spans="1:27" s="47" customFormat="1" ht="16.5" x14ac:dyDescent="0.25">
      <c r="A21" s="47" t="s">
        <v>200</v>
      </c>
      <c r="B21" s="121">
        <v>0.76</v>
      </c>
      <c r="C21" s="121">
        <v>0.70000000000000007</v>
      </c>
      <c r="E21" s="121">
        <v>0.1</v>
      </c>
      <c r="F21" s="121">
        <v>0.3</v>
      </c>
      <c r="G21" s="121">
        <v>0</v>
      </c>
      <c r="H21" s="121">
        <v>0.1</v>
      </c>
      <c r="J21" s="121">
        <v>0.5</v>
      </c>
      <c r="L21" s="121">
        <v>0.2</v>
      </c>
      <c r="M21" s="121">
        <v>0.4</v>
      </c>
      <c r="N21" s="121">
        <v>0.23</v>
      </c>
      <c r="O21" s="121">
        <v>0.125</v>
      </c>
      <c r="Q21" s="121">
        <v>0.877</v>
      </c>
      <c r="R21" s="297"/>
      <c r="S21" s="121">
        <v>0.55900000000000005</v>
      </c>
      <c r="T21" s="121">
        <v>-0.02</v>
      </c>
      <c r="U21" s="108">
        <v>6.9000000000000006E-2</v>
      </c>
      <c r="V21" s="108">
        <v>0.14899999999999999</v>
      </c>
      <c r="X21" s="108">
        <f t="shared" si="0"/>
        <v>0.75700000000000012</v>
      </c>
      <c r="Y21" s="297"/>
      <c r="Z21" s="297"/>
      <c r="AA21" s="297"/>
    </row>
    <row r="22" spans="1:27" s="52" customFormat="1" ht="16.5" x14ac:dyDescent="0.25">
      <c r="A22" s="52" t="s">
        <v>342</v>
      </c>
      <c r="B22" s="121">
        <v>0</v>
      </c>
      <c r="C22" s="121">
        <v>0</v>
      </c>
      <c r="E22" s="121">
        <v>0</v>
      </c>
      <c r="F22" s="121">
        <v>0</v>
      </c>
      <c r="G22" s="121">
        <v>0</v>
      </c>
      <c r="H22" s="121">
        <v>0</v>
      </c>
      <c r="J22" s="121">
        <v>0</v>
      </c>
      <c r="L22" s="121">
        <v>0</v>
      </c>
      <c r="M22" s="121">
        <v>0</v>
      </c>
      <c r="N22" s="121">
        <v>0</v>
      </c>
      <c r="O22" s="121">
        <v>0</v>
      </c>
      <c r="Q22" s="121">
        <v>0</v>
      </c>
      <c r="R22" s="102"/>
      <c r="S22" s="121">
        <v>0</v>
      </c>
      <c r="T22" s="121">
        <v>0</v>
      </c>
      <c r="U22" s="108">
        <v>2.7E-2</v>
      </c>
      <c r="V22" s="108">
        <v>1.7000000000000001E-2</v>
      </c>
      <c r="X22" s="108">
        <f t="shared" si="0"/>
        <v>4.3999999999999997E-2</v>
      </c>
      <c r="Y22" s="102"/>
      <c r="Z22" s="102"/>
      <c r="AA22" s="102"/>
    </row>
    <row r="23" spans="1:27" s="52" customFormat="1" ht="16.5" x14ac:dyDescent="0.25">
      <c r="A23" s="52" t="s">
        <v>343</v>
      </c>
      <c r="B23" s="104">
        <v>0</v>
      </c>
      <c r="C23" s="104">
        <v>0</v>
      </c>
      <c r="E23" s="104">
        <v>0</v>
      </c>
      <c r="F23" s="104">
        <v>0</v>
      </c>
      <c r="G23" s="104">
        <v>0</v>
      </c>
      <c r="H23" s="104">
        <v>0</v>
      </c>
      <c r="J23" s="104">
        <v>0</v>
      </c>
      <c r="L23" s="104">
        <v>0</v>
      </c>
      <c r="M23" s="104">
        <v>0</v>
      </c>
      <c r="N23" s="104">
        <v>0</v>
      </c>
      <c r="O23" s="104">
        <v>0</v>
      </c>
      <c r="Q23" s="104">
        <v>0</v>
      </c>
      <c r="R23" s="102"/>
      <c r="S23" s="104">
        <v>0</v>
      </c>
      <c r="T23" s="104">
        <v>0</v>
      </c>
      <c r="U23" s="104">
        <v>0.05</v>
      </c>
      <c r="V23" s="104">
        <v>0.124</v>
      </c>
      <c r="X23" s="104">
        <f t="shared" si="0"/>
        <v>0.17399999999999999</v>
      </c>
      <c r="Y23" s="102"/>
      <c r="Z23" s="102"/>
      <c r="AA23" s="102"/>
    </row>
    <row r="24" spans="1:27" s="52" customFormat="1" ht="16.5" x14ac:dyDescent="0.25">
      <c r="A24" s="62" t="s">
        <v>226</v>
      </c>
      <c r="B24" s="68">
        <f>SUM(B17:B23)+B15</f>
        <v>215.60200000000003</v>
      </c>
      <c r="C24" s="68">
        <f>SUM(C17:C23)+C15</f>
        <v>237.58600000000001</v>
      </c>
      <c r="E24" s="68">
        <f>SUM(E17:E23)+E15</f>
        <v>59.871000000000002</v>
      </c>
      <c r="F24" s="68">
        <f>SUM(F17:F23)+F15</f>
        <v>63.601999999999997</v>
      </c>
      <c r="G24" s="68">
        <f>SUM(G17:G23)+G15</f>
        <v>65.103000000000009</v>
      </c>
      <c r="H24" s="68">
        <f>SUM(H17:H23)+H15</f>
        <v>80.391000000000005</v>
      </c>
      <c r="J24" s="68">
        <f>SUM(J17:J23)+J15</f>
        <v>269.07899999999995</v>
      </c>
      <c r="L24" s="68">
        <f>SUM(L17:L23)+L15</f>
        <v>70.76400000000001</v>
      </c>
      <c r="M24" s="68">
        <f>SUM(M17:M23)+M15</f>
        <v>74.088000000000008</v>
      </c>
      <c r="N24" s="68">
        <f>SUM(N17:N23)+N15</f>
        <v>69.167999999999992</v>
      </c>
      <c r="O24" s="68">
        <f>SUM(O17:O23)+O15</f>
        <v>90.209000000000017</v>
      </c>
      <c r="Q24" s="68">
        <f>SUM(Q17:Q23)+Q15</f>
        <v>304.27399999999994</v>
      </c>
      <c r="R24" s="102"/>
      <c r="S24" s="68">
        <f>SUM(S17:S23)+S15</f>
        <v>70.897000000000006</v>
      </c>
      <c r="T24" s="68">
        <f>SUM(T17:T23)+T15</f>
        <v>75.186999999999983</v>
      </c>
      <c r="U24" s="68">
        <f>SUM(U17:U23)+U15</f>
        <v>83.898999999999987</v>
      </c>
      <c r="V24" s="68">
        <f>SUM(V17:V23)+V15</f>
        <v>88.673000000000002</v>
      </c>
      <c r="X24" s="68">
        <f>SUM(X17:X23)+X15</f>
        <v>318.65599999999995</v>
      </c>
      <c r="Y24" s="102"/>
      <c r="Z24" s="102"/>
      <c r="AA24" s="102"/>
    </row>
    <row r="25" spans="1:27" s="52" customFormat="1" ht="16.5" x14ac:dyDescent="0.25">
      <c r="A25" s="62" t="s">
        <v>230</v>
      </c>
      <c r="B25" s="109">
        <v>0.60499999999999998</v>
      </c>
      <c r="C25" s="109">
        <v>0.60075853350189634</v>
      </c>
      <c r="E25" s="109">
        <v>0.58268482490272377</v>
      </c>
      <c r="F25" s="109">
        <v>0.6028436018957346</v>
      </c>
      <c r="G25" s="109">
        <v>0.61126760563380289</v>
      </c>
      <c r="H25" s="109">
        <v>0.67619848612279232</v>
      </c>
      <c r="J25" s="109">
        <v>0.6203319502074689</v>
      </c>
      <c r="L25" s="109">
        <v>0.65373961218836574</v>
      </c>
      <c r="M25" s="109">
        <v>0.65633303808680254</v>
      </c>
      <c r="N25" s="109">
        <v>0.64700000000000002</v>
      </c>
      <c r="O25" s="109">
        <v>0.67</v>
      </c>
      <c r="Q25" s="109">
        <v>0.65700000000000003</v>
      </c>
      <c r="R25" s="102"/>
      <c r="S25" s="109">
        <v>0.69199999999999995</v>
      </c>
      <c r="T25" s="109">
        <v>0.70799999999999996</v>
      </c>
      <c r="U25" s="109">
        <v>0.73799999999999999</v>
      </c>
      <c r="V25" s="109">
        <v>0.71199999999999997</v>
      </c>
      <c r="X25" s="109">
        <v>0.71299999999999997</v>
      </c>
      <c r="Y25" s="102"/>
      <c r="Z25" s="102"/>
      <c r="AA25" s="102"/>
    </row>
    <row r="26" spans="1:27" s="52" customFormat="1" ht="16.5" x14ac:dyDescent="0.25">
      <c r="A26" s="102"/>
      <c r="B26" s="102"/>
      <c r="C26" s="102"/>
      <c r="E26" s="102"/>
      <c r="F26" s="102"/>
      <c r="G26" s="102"/>
      <c r="H26" s="102"/>
      <c r="J26" s="102"/>
      <c r="L26" s="102"/>
      <c r="M26" s="102"/>
      <c r="N26" s="102"/>
      <c r="O26" s="102"/>
      <c r="Q26" s="102"/>
      <c r="R26" s="102"/>
      <c r="S26" s="102"/>
      <c r="T26" s="102"/>
      <c r="U26" s="102"/>
      <c r="V26" s="102"/>
      <c r="X26" s="102"/>
      <c r="Y26" s="102"/>
      <c r="Z26" s="102"/>
      <c r="AA26" s="102"/>
    </row>
    <row r="27" spans="1:27" s="52" customFormat="1" ht="16.5" x14ac:dyDescent="0.25">
      <c r="A27" s="102"/>
      <c r="B27" s="102"/>
      <c r="C27" s="102"/>
      <c r="E27" s="102"/>
      <c r="F27" s="102"/>
      <c r="G27" s="102"/>
      <c r="H27" s="102"/>
      <c r="J27" s="102"/>
      <c r="L27" s="102"/>
      <c r="M27" s="102"/>
      <c r="N27" s="102"/>
      <c r="O27" s="102"/>
      <c r="Q27" s="102"/>
      <c r="R27" s="102"/>
      <c r="S27" s="102"/>
      <c r="T27" s="102"/>
      <c r="U27" s="102"/>
      <c r="V27" s="102"/>
      <c r="X27" s="102"/>
      <c r="Y27" s="102"/>
      <c r="Z27" s="102"/>
      <c r="AA27" s="102"/>
    </row>
    <row r="28" spans="1:27" s="52" customFormat="1" ht="16.5" x14ac:dyDescent="0.25">
      <c r="A28" s="102"/>
      <c r="B28" s="102"/>
      <c r="C28" s="102"/>
      <c r="E28" s="102"/>
      <c r="F28" s="102"/>
      <c r="G28" s="102"/>
      <c r="H28" s="102"/>
      <c r="J28" s="102"/>
      <c r="L28" s="102"/>
      <c r="M28" s="102"/>
      <c r="N28" s="102"/>
      <c r="O28" s="102"/>
      <c r="Q28" s="102"/>
      <c r="R28" s="102"/>
      <c r="S28" s="102"/>
      <c r="T28" s="102"/>
      <c r="U28" s="102"/>
      <c r="V28" s="102"/>
      <c r="X28" s="102"/>
      <c r="Y28" s="102"/>
      <c r="Z28" s="102"/>
      <c r="AA28" s="102"/>
    </row>
    <row r="29" spans="1:27" s="52" customFormat="1" ht="16.5" x14ac:dyDescent="0.25">
      <c r="A29" s="102"/>
      <c r="B29" s="102"/>
      <c r="C29" s="102"/>
      <c r="E29" s="102"/>
      <c r="F29" s="102"/>
      <c r="G29" s="102"/>
      <c r="H29" s="102"/>
      <c r="J29" s="102"/>
      <c r="L29" s="102"/>
      <c r="M29" s="102"/>
      <c r="N29" s="102"/>
      <c r="O29" s="102"/>
      <c r="Q29" s="102"/>
      <c r="R29" s="102"/>
      <c r="S29" s="102"/>
      <c r="T29" s="102"/>
      <c r="U29" s="102"/>
      <c r="V29" s="102"/>
      <c r="X29" s="102"/>
      <c r="Y29" s="102"/>
      <c r="Z29" s="102"/>
      <c r="AA29" s="102"/>
    </row>
  </sheetData>
  <mergeCells count="3">
    <mergeCell ref="E3:H3"/>
    <mergeCell ref="L3:O3"/>
    <mergeCell ref="S3:V3"/>
  </mergeCells>
  <pageMargins left="0.25" right="0.25" top="0.75" bottom="0.75" header="0.3" footer="0.3"/>
  <pageSetup scale="45"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1B65A9"/>
    <pageSetUpPr fitToPage="1"/>
  </sheetPr>
  <dimension ref="A1:AK129"/>
  <sheetViews>
    <sheetView zoomScale="65" zoomScaleNormal="65" zoomScaleSheetLayoutView="90" workbookViewId="0">
      <pane xSplit="1" ySplit="4" topLeftCell="B5" activePane="bottomRight" state="frozen"/>
      <selection activeCell="B2" sqref="B2"/>
      <selection pane="topRight" activeCell="B2" sqref="B2"/>
      <selection pane="bottomLeft" activeCell="B2" sqref="B2"/>
      <selection pane="bottomRight" activeCell="B5" sqref="B5"/>
    </sheetView>
  </sheetViews>
  <sheetFormatPr defaultColWidth="9.140625" defaultRowHeight="11.25" outlineLevelCol="2" x14ac:dyDescent="0.2"/>
  <cols>
    <col min="1" max="1" width="57.42578125" style="4" bestFit="1" customWidth="1"/>
    <col min="2" max="2" width="20.7109375" style="4" customWidth="1" outlineLevel="1"/>
    <col min="3" max="3" width="20.7109375" style="8" customWidth="1" outlineLevel="1"/>
    <col min="4" max="4" width="1.7109375" style="8" hidden="1" customWidth="1" outlineLevel="2"/>
    <col min="5" max="8" width="20.7109375" style="8" hidden="1" customWidth="1" outlineLevel="2"/>
    <col min="9" max="9" width="1.7109375" style="8" hidden="1" customWidth="1" outlineLevel="2"/>
    <col min="10" max="10" width="20.7109375" style="8" customWidth="1" outlineLevel="1" collapsed="1"/>
    <col min="11" max="11" width="1.7109375" style="8" customWidth="1"/>
    <col min="12" max="15" width="20.7109375" style="8" customWidth="1" outlineLevel="1"/>
    <col min="16" max="16" width="1.7109375" style="8" customWidth="1"/>
    <col min="17" max="17" width="20.7109375" style="8" customWidth="1"/>
    <col min="18" max="18" width="1.28515625" style="8" customWidth="1"/>
    <col min="19" max="22" width="20.7109375" style="8" customWidth="1"/>
    <col min="23" max="23" width="1.5703125" style="8" customWidth="1"/>
    <col min="24" max="24" width="20.7109375" style="8" customWidth="1"/>
    <col min="25" max="37" width="12" style="8" customWidth="1"/>
    <col min="38" max="16384" width="9.140625" style="8"/>
  </cols>
  <sheetData>
    <row r="1" spans="1:37" ht="18" x14ac:dyDescent="0.25">
      <c r="A1" s="198" t="s">
        <v>181</v>
      </c>
      <c r="B1" s="3"/>
    </row>
    <row r="2" spans="1:37" x14ac:dyDescent="0.2">
      <c r="A2" s="1"/>
      <c r="B2" s="1"/>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row>
    <row r="3" spans="1:37" s="24" customFormat="1" ht="30" customHeight="1" x14ac:dyDescent="0.25">
      <c r="A3" s="78"/>
      <c r="B3" s="196" t="s">
        <v>31</v>
      </c>
      <c r="C3" s="196" t="s">
        <v>31</v>
      </c>
      <c r="D3" s="79"/>
      <c r="E3" s="354" t="s">
        <v>1</v>
      </c>
      <c r="F3" s="354"/>
      <c r="G3" s="354"/>
      <c r="H3" s="354"/>
      <c r="I3" s="79"/>
      <c r="J3" s="81" t="s">
        <v>31</v>
      </c>
      <c r="K3" s="79"/>
      <c r="L3" s="354" t="s">
        <v>1</v>
      </c>
      <c r="M3" s="354"/>
      <c r="N3" s="354"/>
      <c r="O3" s="354"/>
      <c r="P3" s="79"/>
      <c r="Q3" s="262" t="s">
        <v>31</v>
      </c>
      <c r="S3" s="354" t="s">
        <v>1</v>
      </c>
      <c r="T3" s="354"/>
      <c r="U3" s="354"/>
      <c r="V3" s="354"/>
      <c r="X3" s="303" t="s">
        <v>31</v>
      </c>
    </row>
    <row r="4" spans="1:37" s="24" customFormat="1" ht="30" customHeight="1" x14ac:dyDescent="0.25">
      <c r="A4" s="83" t="s">
        <v>0</v>
      </c>
      <c r="B4" s="84" t="s">
        <v>155</v>
      </c>
      <c r="C4" s="84" t="s">
        <v>159</v>
      </c>
      <c r="D4" s="133"/>
      <c r="E4" s="84" t="s">
        <v>156</v>
      </c>
      <c r="F4" s="84" t="s">
        <v>157</v>
      </c>
      <c r="G4" s="84" t="s">
        <v>158</v>
      </c>
      <c r="H4" s="84" t="s">
        <v>100</v>
      </c>
      <c r="I4" s="133"/>
      <c r="J4" s="84" t="s">
        <v>100</v>
      </c>
      <c r="K4" s="133"/>
      <c r="L4" s="84" t="s">
        <v>148</v>
      </c>
      <c r="M4" s="84" t="s">
        <v>149</v>
      </c>
      <c r="N4" s="84" t="s">
        <v>109</v>
      </c>
      <c r="O4" s="84" t="s">
        <v>314</v>
      </c>
      <c r="P4" s="133"/>
      <c r="Q4" s="84" t="s">
        <v>314</v>
      </c>
      <c r="S4" s="84" t="s">
        <v>327</v>
      </c>
      <c r="T4" s="84" t="s">
        <v>330</v>
      </c>
      <c r="U4" s="84" t="s">
        <v>338</v>
      </c>
      <c r="V4" s="84" t="s">
        <v>346</v>
      </c>
      <c r="X4" s="84" t="s">
        <v>346</v>
      </c>
    </row>
    <row r="5" spans="1:37" s="47" customFormat="1" ht="16.5" x14ac:dyDescent="0.25">
      <c r="A5" s="49"/>
      <c r="B5" s="49"/>
    </row>
    <row r="6" spans="1:37" s="47" customFormat="1" ht="16.5" x14ac:dyDescent="0.25">
      <c r="A6" s="65" t="s">
        <v>60</v>
      </c>
      <c r="B6" s="65"/>
      <c r="E6" s="52"/>
      <c r="L6" s="52"/>
    </row>
    <row r="7" spans="1:37" s="47" customFormat="1" ht="16.5" x14ac:dyDescent="0.25">
      <c r="A7" s="58" t="s">
        <v>61</v>
      </c>
      <c r="B7" s="56">
        <v>63.728999999999999</v>
      </c>
      <c r="C7" s="56">
        <v>74.5</v>
      </c>
      <c r="E7" s="56">
        <v>20.6</v>
      </c>
      <c r="F7" s="56">
        <v>20.3</v>
      </c>
      <c r="G7" s="56">
        <v>18.899999999999999</v>
      </c>
      <c r="H7" s="56">
        <v>21.1</v>
      </c>
      <c r="J7" s="56">
        <v>81</v>
      </c>
      <c r="L7" s="56">
        <v>21.9</v>
      </c>
      <c r="M7" s="56">
        <v>22.4</v>
      </c>
      <c r="N7" s="56">
        <v>22.818000000000001</v>
      </c>
      <c r="O7" s="56">
        <v>23.552</v>
      </c>
      <c r="Q7" s="56">
        <v>90.707999999999998</v>
      </c>
      <c r="S7" s="56">
        <v>25.670999999999999</v>
      </c>
      <c r="T7" s="56">
        <v>23.335000000000001</v>
      </c>
      <c r="U7" s="56">
        <v>26.023</v>
      </c>
      <c r="V7" s="56">
        <v>30.838000000000001</v>
      </c>
      <c r="X7" s="56">
        <f>+S7+T7+U7+V7</f>
        <v>105.86699999999999</v>
      </c>
    </row>
    <row r="8" spans="1:37" s="47" customFormat="1" ht="16.5" x14ac:dyDescent="0.25">
      <c r="A8" s="58" t="s">
        <v>201</v>
      </c>
      <c r="B8" s="61">
        <v>3.863</v>
      </c>
      <c r="C8" s="61">
        <v>4.5</v>
      </c>
      <c r="D8" s="61"/>
      <c r="E8" s="61">
        <v>0.5</v>
      </c>
      <c r="F8" s="61">
        <v>1</v>
      </c>
      <c r="G8" s="61">
        <v>0.9</v>
      </c>
      <c r="H8" s="61">
        <v>0.9</v>
      </c>
      <c r="I8" s="61"/>
      <c r="J8" s="61">
        <v>3.4</v>
      </c>
      <c r="K8" s="61"/>
      <c r="L8" s="61">
        <v>0.9</v>
      </c>
      <c r="M8" s="61">
        <v>1.2</v>
      </c>
      <c r="N8" s="61">
        <v>1.04</v>
      </c>
      <c r="O8" s="61">
        <v>1.5660000000000001</v>
      </c>
      <c r="P8" s="61"/>
      <c r="Q8" s="61">
        <v>4.6719999999999997</v>
      </c>
      <c r="S8" s="61">
        <v>0.80800000000000005</v>
      </c>
      <c r="T8" s="61">
        <v>1.0229999999999999</v>
      </c>
      <c r="U8" s="61">
        <v>1.0029999999999999</v>
      </c>
      <c r="V8" s="61">
        <v>0.46500000000000002</v>
      </c>
      <c r="X8" s="61">
        <f t="shared" ref="X8:X9" si="0">+S8+T8+U8+V8</f>
        <v>3.2989999999999995</v>
      </c>
    </row>
    <row r="9" spans="1:37" s="47" customFormat="1" ht="16.5" x14ac:dyDescent="0.25">
      <c r="A9" s="58" t="s">
        <v>202</v>
      </c>
      <c r="B9" s="104">
        <v>5.2549999999999999</v>
      </c>
      <c r="C9" s="104">
        <v>6.4</v>
      </c>
      <c r="D9" s="105"/>
      <c r="E9" s="104">
        <v>2.2999999999999998</v>
      </c>
      <c r="F9" s="104">
        <v>1.9</v>
      </c>
      <c r="G9" s="104">
        <v>1.982</v>
      </c>
      <c r="H9" s="104">
        <v>1.9</v>
      </c>
      <c r="I9" s="105"/>
      <c r="J9" s="104">
        <v>8.1</v>
      </c>
      <c r="K9" s="105"/>
      <c r="L9" s="104">
        <v>2.2000000000000002</v>
      </c>
      <c r="M9" s="104">
        <v>2.1</v>
      </c>
      <c r="N9" s="104">
        <v>2.35</v>
      </c>
      <c r="O9" s="104">
        <v>2.621</v>
      </c>
      <c r="P9" s="105"/>
      <c r="Q9" s="104">
        <v>9.2379999999999995</v>
      </c>
      <c r="R9" s="105"/>
      <c r="S9" s="104">
        <v>2.4809999999999999</v>
      </c>
      <c r="T9" s="104">
        <v>2.3340000000000001</v>
      </c>
      <c r="U9" s="104">
        <v>2.7069999999999999</v>
      </c>
      <c r="V9" s="104">
        <v>2.5049999999999999</v>
      </c>
      <c r="W9" s="105"/>
      <c r="X9" s="104">
        <f t="shared" si="0"/>
        <v>10.026999999999999</v>
      </c>
      <c r="Y9" s="105"/>
      <c r="Z9" s="105"/>
      <c r="AA9" s="105"/>
      <c r="AB9" s="105"/>
      <c r="AC9" s="105"/>
      <c r="AD9" s="122"/>
      <c r="AE9" s="122"/>
      <c r="AF9" s="122"/>
      <c r="AG9" s="122"/>
      <c r="AH9" s="122"/>
      <c r="AI9" s="122"/>
    </row>
    <row r="10" spans="1:37" s="47" customFormat="1" ht="16.5" x14ac:dyDescent="0.25">
      <c r="A10" s="65" t="s">
        <v>62</v>
      </c>
      <c r="B10" s="68">
        <f>SUM(B7:B9)</f>
        <v>72.846999999999994</v>
      </c>
      <c r="C10" s="68">
        <f>SUM(C7:C9)</f>
        <v>85.4</v>
      </c>
      <c r="D10" s="106"/>
      <c r="E10" s="68">
        <f>SUM(E7:E9)</f>
        <v>23.400000000000002</v>
      </c>
      <c r="F10" s="68">
        <f>SUM(F7:F9)</f>
        <v>23.2</v>
      </c>
      <c r="G10" s="68">
        <f>SUM(G7:G9)</f>
        <v>21.781999999999996</v>
      </c>
      <c r="H10" s="68">
        <f>SUM(H7:H9)</f>
        <v>23.9</v>
      </c>
      <c r="I10" s="106"/>
      <c r="J10" s="68">
        <f>SUM(J7:J9)</f>
        <v>92.5</v>
      </c>
      <c r="K10" s="106"/>
      <c r="L10" s="68">
        <f>SUM(L7:L9)</f>
        <v>24.999999999999996</v>
      </c>
      <c r="M10" s="68">
        <f>SUM(M7:M9)</f>
        <v>25.7</v>
      </c>
      <c r="N10" s="68">
        <f>SUM(N7:N9)</f>
        <v>26.208000000000002</v>
      </c>
      <c r="O10" s="68">
        <f>SUM(O7:O9)</f>
        <v>27.738999999999997</v>
      </c>
      <c r="P10" s="106"/>
      <c r="Q10" s="68">
        <f>SUM(Q7:Q9)</f>
        <v>104.61799999999999</v>
      </c>
      <c r="R10" s="106"/>
      <c r="S10" s="68">
        <f>SUM(S7:S9)</f>
        <v>28.96</v>
      </c>
      <c r="T10" s="68">
        <f>SUM(T7:T9)</f>
        <v>26.692</v>
      </c>
      <c r="U10" s="68">
        <f>SUM(U7:U9)</f>
        <v>29.733000000000001</v>
      </c>
      <c r="V10" s="68">
        <f>SUM(V7:V9)</f>
        <v>33.808</v>
      </c>
      <c r="W10" s="106"/>
      <c r="X10" s="68">
        <f>SUM(X7:X9)</f>
        <v>119.193</v>
      </c>
      <c r="Y10" s="106"/>
      <c r="Z10" s="106"/>
      <c r="AA10" s="106"/>
      <c r="AB10" s="106"/>
      <c r="AC10" s="106"/>
      <c r="AD10" s="106"/>
      <c r="AE10" s="106"/>
      <c r="AF10" s="106"/>
      <c r="AG10" s="106"/>
      <c r="AH10" s="106"/>
      <c r="AI10" s="106"/>
    </row>
    <row r="11" spans="1:37" s="47" customFormat="1" ht="16.5" x14ac:dyDescent="0.25">
      <c r="A11" s="65" t="s">
        <v>107</v>
      </c>
      <c r="B11" s="112">
        <v>0.20499999999999999</v>
      </c>
      <c r="C11" s="112">
        <v>0.216</v>
      </c>
      <c r="D11" s="106"/>
      <c r="E11" s="112">
        <v>0.22800000000000001</v>
      </c>
      <c r="F11" s="112">
        <v>0.22</v>
      </c>
      <c r="G11" s="112">
        <v>0.20499999999999999</v>
      </c>
      <c r="H11" s="112">
        <v>0.20100000000000001</v>
      </c>
      <c r="I11" s="106"/>
      <c r="J11" s="112">
        <v>0.21299999999999999</v>
      </c>
      <c r="K11" s="106"/>
      <c r="L11" s="112">
        <v>0.23100000000000001</v>
      </c>
      <c r="M11" s="112">
        <v>0.22800000000000001</v>
      </c>
      <c r="N11" s="112">
        <v>0.245</v>
      </c>
      <c r="O11" s="112">
        <v>0.215</v>
      </c>
      <c r="P11" s="106"/>
      <c r="Q11" s="112">
        <v>0.22900000000000001</v>
      </c>
      <c r="R11" s="106"/>
      <c r="S11" s="112">
        <v>0.28599999999999998</v>
      </c>
      <c r="T11" s="112">
        <v>0.254</v>
      </c>
      <c r="U11" s="112">
        <v>0.26300000000000001</v>
      </c>
      <c r="V11" s="112">
        <v>0.27300000000000002</v>
      </c>
      <c r="W11" s="106"/>
      <c r="X11" s="112">
        <v>0.26900000000000002</v>
      </c>
      <c r="Y11" s="106"/>
      <c r="Z11" s="106"/>
      <c r="AA11" s="106"/>
      <c r="AB11" s="106"/>
      <c r="AC11" s="106"/>
      <c r="AD11" s="106"/>
      <c r="AE11" s="106"/>
      <c r="AF11" s="106"/>
      <c r="AG11" s="106"/>
      <c r="AH11" s="106"/>
      <c r="AI11" s="106"/>
    </row>
    <row r="12" spans="1:37" s="47" customFormat="1" ht="8.25" customHeight="1" x14ac:dyDescent="0.25">
      <c r="B12" s="52"/>
      <c r="C12" s="52"/>
      <c r="E12" s="52"/>
      <c r="F12" s="52"/>
      <c r="G12" s="52"/>
      <c r="H12" s="52"/>
      <c r="J12" s="52"/>
      <c r="L12" s="52"/>
      <c r="M12" s="52"/>
      <c r="N12" s="52"/>
      <c r="O12" s="52"/>
      <c r="Q12" s="52"/>
      <c r="S12" s="52"/>
      <c r="T12" s="52"/>
      <c r="U12" s="52"/>
      <c r="V12" s="52"/>
      <c r="X12" s="52"/>
    </row>
    <row r="13" spans="1:37" s="47" customFormat="1" ht="16.5" x14ac:dyDescent="0.25">
      <c r="A13" s="58" t="s">
        <v>201</v>
      </c>
      <c r="B13" s="61">
        <f>+-B8</f>
        <v>-3.863</v>
      </c>
      <c r="C13" s="61">
        <f>+-C8</f>
        <v>-4.5</v>
      </c>
      <c r="D13" s="113"/>
      <c r="E13" s="61">
        <f>+-E8</f>
        <v>-0.5</v>
      </c>
      <c r="F13" s="61">
        <f>+-F8</f>
        <v>-1</v>
      </c>
      <c r="G13" s="61">
        <f>+-G8</f>
        <v>-0.9</v>
      </c>
      <c r="H13" s="61">
        <f>+-H8</f>
        <v>-0.9</v>
      </c>
      <c r="I13" s="113"/>
      <c r="J13" s="61">
        <f>+-J8</f>
        <v>-3.4</v>
      </c>
      <c r="K13" s="113"/>
      <c r="L13" s="61">
        <f>+-L8</f>
        <v>-0.9</v>
      </c>
      <c r="M13" s="61">
        <f>+-M8</f>
        <v>-1.2</v>
      </c>
      <c r="N13" s="61">
        <v>-1.04</v>
      </c>
      <c r="O13" s="61">
        <v>-1.5660000000000001</v>
      </c>
      <c r="P13" s="113"/>
      <c r="Q13" s="61">
        <v>-4.6719999999999997</v>
      </c>
      <c r="R13" s="106"/>
      <c r="S13" s="61">
        <f>-S8</f>
        <v>-0.80800000000000005</v>
      </c>
      <c r="T13" s="61">
        <f>-T8</f>
        <v>-1.0229999999999999</v>
      </c>
      <c r="U13" s="61">
        <f>-U8</f>
        <v>-1.0029999999999999</v>
      </c>
      <c r="V13" s="61">
        <f>-V8</f>
        <v>-0.46500000000000002</v>
      </c>
      <c r="W13" s="106"/>
      <c r="X13" s="61">
        <f>+S13+T13+U13+V13</f>
        <v>-3.2989999999999995</v>
      </c>
      <c r="Y13" s="106"/>
      <c r="Z13" s="106"/>
      <c r="AA13" s="106"/>
      <c r="AB13" s="106"/>
      <c r="AC13" s="106"/>
      <c r="AD13" s="106"/>
      <c r="AE13" s="106"/>
      <c r="AF13" s="106"/>
      <c r="AG13" s="106"/>
      <c r="AH13" s="106"/>
      <c r="AI13" s="106"/>
    </row>
    <row r="14" spans="1:37" s="47" customFormat="1" ht="16.5" x14ac:dyDescent="0.25">
      <c r="A14" s="58" t="s">
        <v>203</v>
      </c>
      <c r="B14" s="61">
        <v>-7.0000000000000007E-2</v>
      </c>
      <c r="C14" s="61">
        <v>0</v>
      </c>
      <c r="D14" s="61"/>
      <c r="E14" s="61">
        <v>0</v>
      </c>
      <c r="F14" s="61">
        <v>0</v>
      </c>
      <c r="G14" s="61">
        <v>0</v>
      </c>
      <c r="H14" s="61">
        <v>-0.1</v>
      </c>
      <c r="I14" s="61"/>
      <c r="J14" s="61">
        <v>-0.1</v>
      </c>
      <c r="K14" s="61"/>
      <c r="L14" s="61">
        <v>-0.1</v>
      </c>
      <c r="M14" s="61">
        <v>-0.1</v>
      </c>
      <c r="N14" s="61">
        <v>-4.2000000000000003E-2</v>
      </c>
      <c r="O14" s="61">
        <v>-0.108</v>
      </c>
      <c r="P14" s="61"/>
      <c r="Q14" s="61">
        <v>-0.29199999999999998</v>
      </c>
      <c r="R14" s="106"/>
      <c r="S14" s="61">
        <v>-0.10199999999999999</v>
      </c>
      <c r="T14" s="61">
        <v>-4.1000000000000002E-2</v>
      </c>
      <c r="U14" s="61">
        <v>-0.01</v>
      </c>
      <c r="V14" s="61">
        <v>-1.2999999999999999E-2</v>
      </c>
      <c r="W14" s="106"/>
      <c r="X14" s="61">
        <f>+S14+T14+U14+V14</f>
        <v>-0.16600000000000001</v>
      </c>
      <c r="Y14" s="106"/>
      <c r="Z14" s="106"/>
      <c r="AA14" s="106"/>
      <c r="AB14" s="106"/>
      <c r="AC14" s="106"/>
      <c r="AD14" s="106"/>
      <c r="AE14" s="106"/>
      <c r="AF14" s="106"/>
      <c r="AG14" s="106"/>
      <c r="AH14" s="106"/>
      <c r="AI14" s="106"/>
    </row>
    <row r="15" spans="1:37" s="47" customFormat="1" ht="16.5" x14ac:dyDescent="0.25">
      <c r="A15" s="58" t="s">
        <v>204</v>
      </c>
      <c r="B15" s="121">
        <v>-0.57999999999999996</v>
      </c>
      <c r="C15" s="121">
        <v>-0.4</v>
      </c>
      <c r="E15" s="121">
        <v>0</v>
      </c>
      <c r="F15" s="121">
        <v>0</v>
      </c>
      <c r="G15" s="121">
        <v>-0.1</v>
      </c>
      <c r="H15" s="121">
        <v>0</v>
      </c>
      <c r="J15" s="121">
        <v>-0.2</v>
      </c>
      <c r="L15" s="121">
        <v>-0.1</v>
      </c>
      <c r="M15" s="121">
        <v>0</v>
      </c>
      <c r="N15" s="121">
        <v>-0.109</v>
      </c>
      <c r="O15" s="121">
        <v>-0.14499999999999999</v>
      </c>
      <c r="Q15" s="121">
        <v>-0.45600000000000002</v>
      </c>
      <c r="S15" s="121">
        <v>-0.32</v>
      </c>
      <c r="T15" s="121">
        <v>-0.11</v>
      </c>
      <c r="U15" s="121">
        <v>-0.09</v>
      </c>
      <c r="V15" s="121">
        <v>-7.1999999999999995E-2</v>
      </c>
      <c r="X15" s="121">
        <f>+S15+T15+U15+V15</f>
        <v>-0.59199999999999997</v>
      </c>
    </row>
    <row r="16" spans="1:37" s="47" customFormat="1" ht="16.5" x14ac:dyDescent="0.25">
      <c r="A16" s="58" t="s">
        <v>316</v>
      </c>
      <c r="B16" s="121">
        <v>0</v>
      </c>
      <c r="C16" s="121">
        <v>0</v>
      </c>
      <c r="E16" s="121">
        <v>0</v>
      </c>
      <c r="F16" s="121">
        <v>0</v>
      </c>
      <c r="G16" s="121">
        <v>0</v>
      </c>
      <c r="H16" s="121">
        <v>0</v>
      </c>
      <c r="J16" s="121">
        <v>0</v>
      </c>
      <c r="L16" s="121">
        <v>0</v>
      </c>
      <c r="M16" s="121">
        <v>0</v>
      </c>
      <c r="N16" s="121">
        <v>0</v>
      </c>
      <c r="O16" s="121">
        <v>0</v>
      </c>
      <c r="Q16" s="121">
        <v>0</v>
      </c>
      <c r="S16" s="121">
        <v>0</v>
      </c>
      <c r="T16" s="121">
        <v>0</v>
      </c>
      <c r="U16" s="121">
        <v>-3.3000000000000002E-2</v>
      </c>
      <c r="V16" s="121">
        <v>-9.4E-2</v>
      </c>
      <c r="X16" s="121">
        <f>+S16+T16+U16+V16</f>
        <v>-0.127</v>
      </c>
    </row>
    <row r="17" spans="1:35" s="47" customFormat="1" ht="16.5" x14ac:dyDescent="0.25">
      <c r="A17" s="58" t="s">
        <v>332</v>
      </c>
      <c r="B17" s="104">
        <v>0</v>
      </c>
      <c r="C17" s="104">
        <v>0</v>
      </c>
      <c r="E17" s="104">
        <v>0</v>
      </c>
      <c r="F17" s="104">
        <v>0</v>
      </c>
      <c r="G17" s="104">
        <v>0</v>
      </c>
      <c r="H17" s="104">
        <v>0</v>
      </c>
      <c r="J17" s="104">
        <v>0</v>
      </c>
      <c r="L17" s="104">
        <v>0</v>
      </c>
      <c r="M17" s="104">
        <v>0</v>
      </c>
      <c r="N17" s="104">
        <v>0</v>
      </c>
      <c r="O17" s="104">
        <v>0</v>
      </c>
      <c r="Q17" s="104">
        <v>0</v>
      </c>
      <c r="S17" s="104">
        <v>0</v>
      </c>
      <c r="T17" s="104">
        <v>-2.4E-2</v>
      </c>
      <c r="U17" s="104">
        <v>0.02</v>
      </c>
      <c r="V17" s="104">
        <v>-7.0000000000000001E-3</v>
      </c>
      <c r="X17" s="104">
        <f>+S17+T17+U17+V17</f>
        <v>-1.0999999999999999E-2</v>
      </c>
    </row>
    <row r="18" spans="1:35" s="47" customFormat="1" ht="33" x14ac:dyDescent="0.25">
      <c r="A18" s="114" t="s">
        <v>227</v>
      </c>
      <c r="B18" s="115">
        <f>SUM(B13:B17)+B10</f>
        <v>68.333999999999989</v>
      </c>
      <c r="C18" s="115">
        <f>SUM(C13:C17)+C10</f>
        <v>80.5</v>
      </c>
      <c r="D18" s="116"/>
      <c r="E18" s="115">
        <f>SUM(E13:E17)+E10</f>
        <v>22.900000000000002</v>
      </c>
      <c r="F18" s="115">
        <f>SUM(F13:F17)+F10</f>
        <v>22.2</v>
      </c>
      <c r="G18" s="115">
        <f>SUM(G13:G17)+G10</f>
        <v>20.781999999999996</v>
      </c>
      <c r="H18" s="115">
        <f>SUM(H13:H17)+H10</f>
        <v>22.9</v>
      </c>
      <c r="I18" s="116"/>
      <c r="J18" s="115">
        <f>SUM(J13:J17)+J10</f>
        <v>88.8</v>
      </c>
      <c r="K18" s="116"/>
      <c r="L18" s="115">
        <f>SUM(L13:L17)+L10</f>
        <v>23.899999999999995</v>
      </c>
      <c r="M18" s="115">
        <f>SUM(M13:M17)+M10</f>
        <v>24.4</v>
      </c>
      <c r="N18" s="115">
        <f>SUM(N13:N17)+N10</f>
        <v>25.017000000000003</v>
      </c>
      <c r="O18" s="115">
        <f>SUM(O13:O17)+O10</f>
        <v>25.919999999999998</v>
      </c>
      <c r="P18" s="116"/>
      <c r="Q18" s="115">
        <f>SUM(Q13:Q17)+Q10</f>
        <v>99.197999999999993</v>
      </c>
      <c r="S18" s="115">
        <f>SUM(S13:S17)+S10</f>
        <v>27.73</v>
      </c>
      <c r="T18" s="115">
        <f>SUM(T13:T17)+T10</f>
        <v>25.494</v>
      </c>
      <c r="U18" s="115">
        <f>SUM(U13:U17)+U10</f>
        <v>28.617000000000001</v>
      </c>
      <c r="V18" s="115">
        <f>SUM(V13:V17)+V10</f>
        <v>33.156999999999996</v>
      </c>
      <c r="X18" s="115">
        <f>SUM(X13:X17)+X10</f>
        <v>114.998</v>
      </c>
    </row>
    <row r="19" spans="1:35" s="47" customFormat="1" ht="16.5" x14ac:dyDescent="0.25">
      <c r="A19" s="65" t="s">
        <v>108</v>
      </c>
      <c r="B19" s="112">
        <v>0.192</v>
      </c>
      <c r="C19" s="112">
        <v>0.20399999999999999</v>
      </c>
      <c r="D19" s="106"/>
      <c r="E19" s="112">
        <v>0.223</v>
      </c>
      <c r="F19" s="112">
        <v>0.21</v>
      </c>
      <c r="G19" s="112">
        <v>0.19500000000000001</v>
      </c>
      <c r="H19" s="112">
        <v>0.192</v>
      </c>
      <c r="I19" s="106"/>
      <c r="J19" s="112">
        <v>0.20499999999999999</v>
      </c>
      <c r="K19" s="106"/>
      <c r="L19" s="112">
        <v>0.22</v>
      </c>
      <c r="M19" s="112">
        <v>0.216</v>
      </c>
      <c r="N19" s="112">
        <v>0.23400000000000001</v>
      </c>
      <c r="O19" s="112">
        <v>0.192</v>
      </c>
      <c r="P19" s="106"/>
      <c r="Q19" s="112">
        <v>0.214</v>
      </c>
      <c r="S19" s="112">
        <v>0.27</v>
      </c>
      <c r="T19" s="112">
        <v>0.24</v>
      </c>
      <c r="U19" s="112">
        <v>0.252</v>
      </c>
      <c r="V19" s="112">
        <v>0.26600000000000001</v>
      </c>
      <c r="X19" s="112">
        <v>0.25700000000000001</v>
      </c>
    </row>
    <row r="20" spans="1:35" s="47" customFormat="1" ht="16.5" x14ac:dyDescent="0.25">
      <c r="A20" s="114"/>
      <c r="B20" s="68"/>
      <c r="C20" s="68"/>
      <c r="E20" s="68"/>
      <c r="F20" s="68"/>
      <c r="G20" s="68"/>
      <c r="H20" s="68"/>
      <c r="J20" s="68"/>
      <c r="L20" s="68"/>
      <c r="M20" s="68"/>
      <c r="N20" s="68"/>
      <c r="O20" s="68"/>
      <c r="Q20" s="68"/>
      <c r="S20" s="68"/>
      <c r="T20" s="68"/>
      <c r="U20" s="68"/>
      <c r="V20" s="68"/>
      <c r="X20" s="68"/>
    </row>
    <row r="21" spans="1:35" s="47" customFormat="1" ht="16.5" x14ac:dyDescent="0.25">
      <c r="B21" s="52"/>
      <c r="C21" s="52"/>
      <c r="E21" s="52"/>
      <c r="F21" s="52"/>
      <c r="G21" s="52"/>
      <c r="H21" s="52"/>
      <c r="J21" s="52"/>
      <c r="L21" s="52"/>
      <c r="M21" s="52"/>
      <c r="N21" s="52"/>
      <c r="O21" s="52"/>
      <c r="Q21" s="52"/>
      <c r="S21" s="52"/>
      <c r="T21" s="52"/>
      <c r="U21" s="52"/>
      <c r="V21" s="52"/>
      <c r="X21" s="52"/>
    </row>
    <row r="22" spans="1:35" s="47" customFormat="1" ht="16.5" x14ac:dyDescent="0.25">
      <c r="A22" s="65" t="s">
        <v>63</v>
      </c>
      <c r="B22" s="52"/>
      <c r="C22" s="52"/>
      <c r="E22" s="52"/>
      <c r="F22" s="52"/>
      <c r="G22" s="52"/>
      <c r="H22" s="52"/>
      <c r="J22" s="52"/>
      <c r="L22" s="52"/>
      <c r="M22" s="52"/>
      <c r="N22" s="52"/>
      <c r="O22" s="52"/>
      <c r="Q22" s="52"/>
      <c r="S22" s="52"/>
      <c r="T22" s="52"/>
      <c r="U22" s="52"/>
      <c r="V22" s="52"/>
      <c r="X22" s="52"/>
    </row>
    <row r="23" spans="1:35" s="47" customFormat="1" ht="16.5" x14ac:dyDescent="0.25">
      <c r="A23" s="58" t="s">
        <v>61</v>
      </c>
      <c r="B23" s="56">
        <v>73.141999999999996</v>
      </c>
      <c r="C23" s="56">
        <v>74.051000000000002</v>
      </c>
      <c r="E23" s="56">
        <v>19.523</v>
      </c>
      <c r="F23" s="56">
        <v>19.968</v>
      </c>
      <c r="G23" s="56">
        <v>18.693000000000001</v>
      </c>
      <c r="H23" s="56">
        <v>21.919</v>
      </c>
      <c r="J23" s="56">
        <v>80.108000000000004</v>
      </c>
      <c r="L23" s="56">
        <v>23.561</v>
      </c>
      <c r="M23" s="56">
        <v>22.404</v>
      </c>
      <c r="N23" s="56">
        <v>20.484000000000002</v>
      </c>
      <c r="O23" s="56">
        <v>25.001999999999999</v>
      </c>
      <c r="Q23" s="56">
        <v>91.451999999999998</v>
      </c>
      <c r="S23" s="56">
        <v>22.396999999999998</v>
      </c>
      <c r="T23" s="56">
        <v>17.507000000000001</v>
      </c>
      <c r="U23" s="56">
        <v>20.927</v>
      </c>
      <c r="V23" s="56">
        <v>22.302</v>
      </c>
      <c r="X23" s="56">
        <f>+S23+T23+U23+V23</f>
        <v>83.132999999999996</v>
      </c>
    </row>
    <row r="24" spans="1:35" s="47" customFormat="1" ht="16.5" x14ac:dyDescent="0.25">
      <c r="A24" s="58" t="s">
        <v>201</v>
      </c>
      <c r="B24" s="61">
        <v>15.067</v>
      </c>
      <c r="C24" s="61">
        <v>16.428000000000001</v>
      </c>
      <c r="E24" s="61">
        <v>4.8520000000000003</v>
      </c>
      <c r="F24" s="61">
        <v>4.29</v>
      </c>
      <c r="G24" s="61">
        <v>4.2939999999999996</v>
      </c>
      <c r="H24" s="61">
        <v>4.1740000000000004</v>
      </c>
      <c r="J24" s="61">
        <v>17.765999999999998</v>
      </c>
      <c r="L24" s="61">
        <v>4.5620000000000003</v>
      </c>
      <c r="M24" s="61">
        <v>5.2789999999999999</v>
      </c>
      <c r="N24" s="61">
        <v>4.8040000000000003</v>
      </c>
      <c r="O24" s="61">
        <v>6.6139999999999999</v>
      </c>
      <c r="Q24" s="61">
        <v>21.259</v>
      </c>
      <c r="S24" s="61">
        <v>3.7650000000000001</v>
      </c>
      <c r="T24" s="61">
        <v>4.3949999999999996</v>
      </c>
      <c r="U24" s="61">
        <v>5.1159999999999997</v>
      </c>
      <c r="V24" s="61">
        <v>3.6230000000000002</v>
      </c>
      <c r="X24" s="61">
        <f>+S24+T24+U24+V24</f>
        <v>16.899000000000001</v>
      </c>
    </row>
    <row r="25" spans="1:35" s="47" customFormat="1" ht="16.5" x14ac:dyDescent="0.25">
      <c r="A25" s="58" t="s">
        <v>202</v>
      </c>
      <c r="B25" s="104">
        <v>46.622</v>
      </c>
      <c r="C25" s="104">
        <v>47.524999999999999</v>
      </c>
      <c r="D25" s="105"/>
      <c r="E25" s="104">
        <v>11.91</v>
      </c>
      <c r="F25" s="104">
        <v>10.972</v>
      </c>
      <c r="G25" s="104">
        <v>10.452999999999999</v>
      </c>
      <c r="H25" s="104">
        <v>13.544</v>
      </c>
      <c r="I25" s="105"/>
      <c r="J25" s="104">
        <v>47.267000000000003</v>
      </c>
      <c r="K25" s="105"/>
      <c r="L25" s="104">
        <v>13.522</v>
      </c>
      <c r="M25" s="104">
        <v>14.132999999999999</v>
      </c>
      <c r="N25" s="104">
        <v>13.176</v>
      </c>
      <c r="O25" s="104">
        <v>13.768000000000001</v>
      </c>
      <c r="P25" s="105"/>
      <c r="Q25" s="104">
        <v>54.597999999999999</v>
      </c>
      <c r="R25" s="105"/>
      <c r="S25" s="104">
        <v>13.227</v>
      </c>
      <c r="T25" s="104">
        <v>13.456</v>
      </c>
      <c r="U25" s="104">
        <v>15.371</v>
      </c>
      <c r="V25" s="104">
        <v>22.596</v>
      </c>
      <c r="W25" s="105"/>
      <c r="X25" s="104">
        <f>+S25+T25+U25+V25</f>
        <v>64.650000000000006</v>
      </c>
      <c r="Y25" s="105"/>
      <c r="Z25" s="105"/>
      <c r="AA25" s="105"/>
      <c r="AB25" s="105"/>
      <c r="AC25" s="105"/>
      <c r="AD25" s="122"/>
      <c r="AE25" s="122"/>
      <c r="AF25" s="122"/>
      <c r="AG25" s="122"/>
      <c r="AH25" s="122"/>
      <c r="AI25" s="122"/>
    </row>
    <row r="26" spans="1:35" s="47" customFormat="1" ht="33" x14ac:dyDescent="0.25">
      <c r="A26" s="114" t="s">
        <v>64</v>
      </c>
      <c r="B26" s="115">
        <f>SUM(B23:B25)</f>
        <v>134.83100000000002</v>
      </c>
      <c r="C26" s="115">
        <f>SUM(C23:C25)</f>
        <v>138.00399999999999</v>
      </c>
      <c r="D26" s="117"/>
      <c r="E26" s="115">
        <f>SUM(E23:E25)</f>
        <v>36.284999999999997</v>
      </c>
      <c r="F26" s="115">
        <f>SUM(F23:F25)</f>
        <v>35.229999999999997</v>
      </c>
      <c r="G26" s="115">
        <f>SUM(G23:G25)</f>
        <v>33.44</v>
      </c>
      <c r="H26" s="115">
        <f>SUM(H23:H25)</f>
        <v>39.637</v>
      </c>
      <c r="I26" s="117"/>
      <c r="J26" s="115">
        <f>SUM(J23:J25)</f>
        <v>145.14099999999999</v>
      </c>
      <c r="K26" s="117"/>
      <c r="L26" s="115">
        <f>SUM(L23:L25)</f>
        <v>41.645000000000003</v>
      </c>
      <c r="M26" s="115">
        <f>SUM(M23:M25)</f>
        <v>41.816000000000003</v>
      </c>
      <c r="N26" s="115">
        <f>SUM(N23:N25)</f>
        <v>38.464000000000006</v>
      </c>
      <c r="O26" s="115">
        <f>SUM(O23:O25)</f>
        <v>45.384</v>
      </c>
      <c r="P26" s="117"/>
      <c r="Q26" s="115">
        <f>SUM(Q23:Q25)</f>
        <v>167.309</v>
      </c>
      <c r="R26" s="106"/>
      <c r="S26" s="115">
        <f>SUM(S23:S25)</f>
        <v>39.388999999999996</v>
      </c>
      <c r="T26" s="115">
        <f>SUM(T23:T25)</f>
        <v>35.358000000000004</v>
      </c>
      <c r="U26" s="115">
        <f>SUM(U23:U25)</f>
        <v>41.414000000000001</v>
      </c>
      <c r="V26" s="115">
        <f>SUM(V23:V25)</f>
        <v>48.521000000000001</v>
      </c>
      <c r="W26" s="106"/>
      <c r="X26" s="115">
        <f>SUM(X23:X25)</f>
        <v>164.68200000000002</v>
      </c>
      <c r="Y26" s="106"/>
      <c r="Z26" s="106"/>
      <c r="AA26" s="106"/>
      <c r="AB26" s="106"/>
      <c r="AC26" s="106"/>
      <c r="AD26" s="106"/>
      <c r="AE26" s="106"/>
      <c r="AF26" s="106"/>
      <c r="AG26" s="106"/>
      <c r="AH26" s="106"/>
      <c r="AI26" s="106"/>
    </row>
    <row r="27" spans="1:35" s="47" customFormat="1" ht="16.5" x14ac:dyDescent="0.25">
      <c r="A27" s="65" t="s">
        <v>107</v>
      </c>
      <c r="B27" s="112">
        <v>0.379</v>
      </c>
      <c r="C27" s="112">
        <v>0.34899999999999998</v>
      </c>
      <c r="D27" s="106"/>
      <c r="E27" s="112">
        <v>0.35299999999999998</v>
      </c>
      <c r="F27" s="112">
        <v>0.33400000000000002</v>
      </c>
      <c r="G27" s="112">
        <v>0.314</v>
      </c>
      <c r="H27" s="112">
        <v>0.33400000000000002</v>
      </c>
      <c r="I27" s="106"/>
      <c r="J27" s="112">
        <v>0.33500000000000002</v>
      </c>
      <c r="K27" s="106"/>
      <c r="L27" s="112">
        <v>0.38500000000000001</v>
      </c>
      <c r="M27" s="112">
        <v>0.371</v>
      </c>
      <c r="N27" s="112">
        <v>0.36</v>
      </c>
      <c r="O27" s="112">
        <v>0.35099999999999998</v>
      </c>
      <c r="P27" s="106"/>
      <c r="Q27" s="112">
        <v>0.36599999999999999</v>
      </c>
      <c r="R27" s="106"/>
      <c r="S27" s="112">
        <v>0.38800000000000001</v>
      </c>
      <c r="T27" s="112">
        <v>0.33700000000000002</v>
      </c>
      <c r="U27" s="112">
        <v>0.36699999999999999</v>
      </c>
      <c r="V27" s="112">
        <v>0.39100000000000001</v>
      </c>
      <c r="W27" s="106"/>
      <c r="X27" s="112">
        <v>0.371</v>
      </c>
      <c r="Y27" s="106"/>
      <c r="Z27" s="106"/>
      <c r="AA27" s="106"/>
      <c r="AB27" s="106"/>
      <c r="AC27" s="106"/>
      <c r="AD27" s="106"/>
      <c r="AE27" s="106"/>
      <c r="AF27" s="106"/>
      <c r="AG27" s="106"/>
      <c r="AH27" s="106"/>
      <c r="AI27" s="106"/>
    </row>
    <row r="28" spans="1:35" s="47" customFormat="1" ht="16.5" x14ac:dyDescent="0.25"/>
    <row r="29" spans="1:35" s="47" customFormat="1" ht="16.5" x14ac:dyDescent="0.25">
      <c r="A29" s="58" t="s">
        <v>201</v>
      </c>
      <c r="B29" s="61">
        <f>+-B24</f>
        <v>-15.067</v>
      </c>
      <c r="C29" s="61">
        <f>+-C24</f>
        <v>-16.428000000000001</v>
      </c>
      <c r="D29" s="113"/>
      <c r="E29" s="61">
        <f>+-E24</f>
        <v>-4.8520000000000003</v>
      </c>
      <c r="F29" s="61">
        <f>+-F24</f>
        <v>-4.29</v>
      </c>
      <c r="G29" s="61">
        <f>+-G24</f>
        <v>-4.2939999999999996</v>
      </c>
      <c r="H29" s="61">
        <f>+-H24</f>
        <v>-4.1740000000000004</v>
      </c>
      <c r="I29" s="113"/>
      <c r="J29" s="61">
        <f>+-J24</f>
        <v>-17.765999999999998</v>
      </c>
      <c r="K29" s="113"/>
      <c r="L29" s="61">
        <f>+-L24</f>
        <v>-4.5620000000000003</v>
      </c>
      <c r="M29" s="61">
        <v>-5.2789999999999999</v>
      </c>
      <c r="N29" s="61">
        <v>-4.8040000000000003</v>
      </c>
      <c r="O29" s="61">
        <v>-6.6139999999999999</v>
      </c>
      <c r="P29" s="113"/>
      <c r="Q29" s="61">
        <v>-21.259</v>
      </c>
      <c r="R29" s="106"/>
      <c r="S29" s="61">
        <f>-S24</f>
        <v>-3.7650000000000001</v>
      </c>
      <c r="T29" s="61">
        <f>-T24</f>
        <v>-4.3949999999999996</v>
      </c>
      <c r="U29" s="61">
        <f>-U24</f>
        <v>-5.1159999999999997</v>
      </c>
      <c r="V29" s="61">
        <f>-V24</f>
        <v>-3.6230000000000002</v>
      </c>
      <c r="W29" s="106"/>
      <c r="X29" s="61">
        <f t="shared" ref="X29:X34" si="1">+S29+T29+U29+V29</f>
        <v>-16.899000000000001</v>
      </c>
      <c r="Y29" s="106"/>
      <c r="Z29" s="106"/>
      <c r="AA29" s="106"/>
      <c r="AB29" s="106"/>
      <c r="AC29" s="106"/>
      <c r="AD29" s="106"/>
      <c r="AE29" s="106"/>
      <c r="AF29" s="106"/>
      <c r="AG29" s="106"/>
      <c r="AH29" s="106"/>
      <c r="AI29" s="106"/>
    </row>
    <row r="30" spans="1:35" s="47" customFormat="1" ht="16.5" x14ac:dyDescent="0.25">
      <c r="A30" s="58" t="s">
        <v>203</v>
      </c>
      <c r="B30" s="61">
        <v>-4.2080000000000002</v>
      </c>
      <c r="C30" s="61">
        <v>-0.5</v>
      </c>
      <c r="D30" s="106"/>
      <c r="E30" s="61">
        <v>-0.8</v>
      </c>
      <c r="F30" s="61">
        <v>0</v>
      </c>
      <c r="G30" s="61">
        <v>-0.64600000000000002</v>
      </c>
      <c r="H30" s="61">
        <v>-1.772</v>
      </c>
      <c r="I30" s="106"/>
      <c r="J30" s="61">
        <v>-3.2629999999999999</v>
      </c>
      <c r="K30" s="106"/>
      <c r="L30" s="61">
        <v>-1.3</v>
      </c>
      <c r="M30" s="61">
        <v>-0.79700000000000004</v>
      </c>
      <c r="N30" s="61">
        <v>-0.70699999999999996</v>
      </c>
      <c r="O30" s="61">
        <v>-0.69299999999999995</v>
      </c>
      <c r="P30" s="106"/>
      <c r="Q30" s="61">
        <v>-3.4710000000000001</v>
      </c>
      <c r="R30" s="106"/>
      <c r="S30" s="61">
        <v>1.3140000000000001</v>
      </c>
      <c r="T30" s="61">
        <v>-0.84299999999999997</v>
      </c>
      <c r="U30" s="61">
        <v>0.47599999999999998</v>
      </c>
      <c r="V30" s="61">
        <v>-1.389</v>
      </c>
      <c r="W30" s="106"/>
      <c r="X30" s="61">
        <f t="shared" si="1"/>
        <v>-0.44199999999999995</v>
      </c>
      <c r="Y30" s="106"/>
      <c r="Z30" s="106"/>
      <c r="AA30" s="106"/>
      <c r="AB30" s="106"/>
      <c r="AC30" s="106"/>
      <c r="AD30" s="106"/>
      <c r="AE30" s="106"/>
      <c r="AF30" s="106"/>
      <c r="AG30" s="106"/>
      <c r="AH30" s="106"/>
      <c r="AI30" s="106"/>
    </row>
    <row r="31" spans="1:35" s="47" customFormat="1" ht="16.5" x14ac:dyDescent="0.25">
      <c r="A31" s="58" t="s">
        <v>204</v>
      </c>
      <c r="B31" s="61">
        <v>-3.8860000000000001</v>
      </c>
      <c r="C31" s="61">
        <v>-3.6</v>
      </c>
      <c r="D31" s="106"/>
      <c r="E31" s="61">
        <v>-0.2</v>
      </c>
      <c r="F31" s="61">
        <v>-0.1</v>
      </c>
      <c r="G31" s="61">
        <v>-0.247</v>
      </c>
      <c r="H31" s="61">
        <v>-0.5</v>
      </c>
      <c r="I31" s="106"/>
      <c r="J31" s="61">
        <v>-1.0309999999999999</v>
      </c>
      <c r="K31" s="106"/>
      <c r="L31" s="61">
        <v>-0.2</v>
      </c>
      <c r="M31" s="61">
        <v>-0.16</v>
      </c>
      <c r="N31" s="61">
        <v>-0.38300000000000001</v>
      </c>
      <c r="O31" s="61">
        <v>-0.22500000000000001</v>
      </c>
      <c r="P31" s="106"/>
      <c r="Q31" s="61">
        <v>-0.95299999999999996</v>
      </c>
      <c r="R31" s="106"/>
      <c r="S31" s="61">
        <v>-1.0169999999999999</v>
      </c>
      <c r="T31" s="61">
        <v>-0.224</v>
      </c>
      <c r="U31" s="61">
        <v>-0.27400000000000002</v>
      </c>
      <c r="V31" s="61">
        <v>-1.38</v>
      </c>
      <c r="W31" s="106"/>
      <c r="X31" s="61">
        <f t="shared" si="1"/>
        <v>-2.8949999999999996</v>
      </c>
      <c r="Y31" s="106"/>
      <c r="Z31" s="106"/>
      <c r="AA31" s="106"/>
      <c r="AB31" s="106"/>
      <c r="AC31" s="106"/>
      <c r="AD31" s="106"/>
      <c r="AE31" s="106"/>
      <c r="AF31" s="106"/>
      <c r="AG31" s="106"/>
      <c r="AH31" s="106"/>
      <c r="AI31" s="106"/>
    </row>
    <row r="32" spans="1:35" s="47" customFormat="1" ht="16.5" x14ac:dyDescent="0.25">
      <c r="A32" s="58" t="s">
        <v>316</v>
      </c>
      <c r="B32" s="61">
        <v>-0.193</v>
      </c>
      <c r="C32" s="61">
        <v>-0.44400000000000001</v>
      </c>
      <c r="D32" s="106"/>
      <c r="E32" s="61">
        <v>-3.3000000000000002E-2</v>
      </c>
      <c r="F32" s="61">
        <v>-5.0999999999999997E-2</v>
      </c>
      <c r="G32" s="61">
        <v>-1.4E-2</v>
      </c>
      <c r="H32" s="61">
        <v>-8.0000000000000002E-3</v>
      </c>
      <c r="I32" s="106"/>
      <c r="J32" s="61">
        <v>-0.108</v>
      </c>
      <c r="K32" s="106"/>
      <c r="L32" s="61">
        <v>-1E-3</v>
      </c>
      <c r="M32" s="61">
        <v>-7.8E-2</v>
      </c>
      <c r="N32" s="61">
        <v>-0.51500000000000001</v>
      </c>
      <c r="O32" s="61">
        <v>-1.2470000000000001</v>
      </c>
      <c r="P32" s="106"/>
      <c r="Q32" s="61">
        <v>-1.84</v>
      </c>
      <c r="R32" s="106"/>
      <c r="S32" s="61">
        <v>-2.69</v>
      </c>
      <c r="T32" s="61">
        <v>-2.1960000000000002</v>
      </c>
      <c r="U32" s="61">
        <v>-4.6980000000000004</v>
      </c>
      <c r="V32" s="61">
        <v>-6.7519999999999998</v>
      </c>
      <c r="W32" s="106"/>
      <c r="X32" s="61">
        <f t="shared" si="1"/>
        <v>-16.335999999999999</v>
      </c>
      <c r="Y32" s="106"/>
      <c r="Z32" s="106"/>
      <c r="AA32" s="106"/>
      <c r="AB32" s="106"/>
      <c r="AC32" s="106"/>
      <c r="AD32" s="106"/>
      <c r="AE32" s="106"/>
      <c r="AF32" s="106"/>
      <c r="AG32" s="106"/>
      <c r="AH32" s="106"/>
      <c r="AI32" s="106"/>
    </row>
    <row r="33" spans="1:35" s="47" customFormat="1" ht="16.5" x14ac:dyDescent="0.25">
      <c r="A33" s="58" t="s">
        <v>205</v>
      </c>
      <c r="B33" s="61">
        <v>0</v>
      </c>
      <c r="C33" s="61">
        <v>-1.1000000000000001</v>
      </c>
      <c r="D33" s="106"/>
      <c r="E33" s="61">
        <v>0</v>
      </c>
      <c r="F33" s="61">
        <v>0</v>
      </c>
      <c r="G33" s="61">
        <v>0</v>
      </c>
      <c r="H33" s="61">
        <v>0</v>
      </c>
      <c r="I33" s="106"/>
      <c r="J33" s="61">
        <v>0</v>
      </c>
      <c r="K33" s="106"/>
      <c r="L33" s="61">
        <v>0</v>
      </c>
      <c r="M33" s="61">
        <v>0</v>
      </c>
      <c r="N33" s="61">
        <v>0</v>
      </c>
      <c r="O33" s="61">
        <v>0</v>
      </c>
      <c r="P33" s="106"/>
      <c r="Q33" s="61">
        <v>0</v>
      </c>
      <c r="R33" s="106"/>
      <c r="S33" s="61">
        <v>0</v>
      </c>
      <c r="T33" s="61">
        <v>0</v>
      </c>
      <c r="U33" s="61">
        <v>0</v>
      </c>
      <c r="V33" s="61">
        <v>0</v>
      </c>
      <c r="W33" s="106"/>
      <c r="X33" s="61">
        <f t="shared" si="1"/>
        <v>0</v>
      </c>
      <c r="Y33" s="106"/>
      <c r="Z33" s="106"/>
      <c r="AA33" s="106"/>
      <c r="AB33" s="106"/>
      <c r="AC33" s="106"/>
      <c r="AD33" s="106"/>
      <c r="AE33" s="106"/>
      <c r="AF33" s="106"/>
      <c r="AG33" s="106"/>
      <c r="AH33" s="106"/>
      <c r="AI33" s="106"/>
    </row>
    <row r="34" spans="1:35" s="47" customFormat="1" ht="16.5" x14ac:dyDescent="0.25">
      <c r="A34" s="58" t="s">
        <v>206</v>
      </c>
      <c r="B34" s="104">
        <f>+-0.322+0.193</f>
        <v>-0.129</v>
      </c>
      <c r="C34" s="104">
        <f>+-0.7+0.444</f>
        <v>-0.25599999999999995</v>
      </c>
      <c r="E34" s="124">
        <f>+-0.2+0.033</f>
        <v>-0.16700000000000001</v>
      </c>
      <c r="F34" s="124">
        <f>+-0.2+0.051</f>
        <v>-0.14900000000000002</v>
      </c>
      <c r="G34" s="124">
        <f>0.515+0.014</f>
        <v>0.52900000000000003</v>
      </c>
      <c r="H34" s="124">
        <f>0.124+0.008</f>
        <v>0.13200000000000001</v>
      </c>
      <c r="J34" s="124">
        <f>0.22+0.108</f>
        <v>0.32800000000000001</v>
      </c>
      <c r="L34" s="124">
        <f>+-0.7+0.001</f>
        <v>-0.69899999999999995</v>
      </c>
      <c r="M34" s="124">
        <f>+-1.995+0.078</f>
        <v>-1.917</v>
      </c>
      <c r="N34" s="124">
        <f>+-0.637+0.515</f>
        <v>-0.122</v>
      </c>
      <c r="O34" s="104">
        <v>-0.77300000000000002</v>
      </c>
      <c r="Q34" s="104">
        <v>-3.528</v>
      </c>
      <c r="S34" s="104">
        <v>-3.2000000000000001E-2</v>
      </c>
      <c r="T34" s="104">
        <v>0.443</v>
      </c>
      <c r="U34" s="104">
        <v>4.0000000000000001E-3</v>
      </c>
      <c r="V34" s="104">
        <v>-0.14699999999999999</v>
      </c>
      <c r="X34" s="104">
        <f t="shared" si="1"/>
        <v>0.26800000000000002</v>
      </c>
    </row>
    <row r="35" spans="1:35" s="47" customFormat="1" ht="33" x14ac:dyDescent="0.25">
      <c r="A35" s="114" t="s">
        <v>318</v>
      </c>
      <c r="B35" s="115">
        <f>SUM(B29:B34)+B26</f>
        <v>111.34800000000001</v>
      </c>
      <c r="C35" s="115">
        <f>SUM(C29:C34)+C26</f>
        <v>115.67599999999999</v>
      </c>
      <c r="D35" s="116"/>
      <c r="E35" s="115">
        <f>SUM(E29:E34)+E26</f>
        <v>30.232999999999997</v>
      </c>
      <c r="F35" s="115">
        <f>SUM(F29:F34)+F26</f>
        <v>30.639999999999997</v>
      </c>
      <c r="G35" s="115">
        <f>SUM(G29:G34)+G26</f>
        <v>28.767999999999997</v>
      </c>
      <c r="H35" s="115">
        <f>SUM(H29:H34)+H26</f>
        <v>33.314999999999998</v>
      </c>
      <c r="I35" s="116"/>
      <c r="J35" s="115">
        <f>SUM(J29:J34)+J26</f>
        <v>123.30099999999999</v>
      </c>
      <c r="K35" s="116"/>
      <c r="L35" s="115">
        <f>SUM(L29:L34)+L26</f>
        <v>34.883000000000003</v>
      </c>
      <c r="M35" s="115">
        <f>SUM(M29:M34)+M26</f>
        <v>33.585000000000001</v>
      </c>
      <c r="N35" s="115">
        <f>SUM(N29:N34)+N26</f>
        <v>31.933000000000007</v>
      </c>
      <c r="O35" s="115">
        <f>SUM(O29:O34)+O26</f>
        <v>35.832000000000001</v>
      </c>
      <c r="P35" s="116"/>
      <c r="Q35" s="115">
        <f>SUM(Q29:Q34)+Q26</f>
        <v>136.25800000000001</v>
      </c>
      <c r="S35" s="115">
        <f>SUM(S29:S34)+S26</f>
        <v>33.198999999999998</v>
      </c>
      <c r="T35" s="115">
        <f>SUM(T29:T34)+T26</f>
        <v>28.143000000000004</v>
      </c>
      <c r="U35" s="115">
        <f>SUM(U29:U34)+U26</f>
        <v>31.806000000000001</v>
      </c>
      <c r="V35" s="115">
        <f>SUM(V29:V34)+V26</f>
        <v>35.230000000000004</v>
      </c>
      <c r="X35" s="115">
        <f>SUM(X29:X34)+X26</f>
        <v>128.37800000000001</v>
      </c>
    </row>
    <row r="36" spans="1:35" s="47" customFormat="1" ht="16.5" x14ac:dyDescent="0.25">
      <c r="A36" s="65" t="s">
        <v>108</v>
      </c>
      <c r="B36" s="112">
        <v>0.312</v>
      </c>
      <c r="C36" s="112">
        <v>0.29199999999999998</v>
      </c>
      <c r="D36" s="106"/>
      <c r="E36" s="112">
        <v>0.29399999999999998</v>
      </c>
      <c r="F36" s="112">
        <v>0.28999999999999998</v>
      </c>
      <c r="G36" s="112">
        <v>0.27</v>
      </c>
      <c r="H36" s="112">
        <v>0.28000000000000003</v>
      </c>
      <c r="I36" s="106"/>
      <c r="J36" s="112">
        <v>0.28399999999999997</v>
      </c>
      <c r="K36" s="106"/>
      <c r="L36" s="112">
        <v>0.32200000000000001</v>
      </c>
      <c r="M36" s="112">
        <v>0.29799999999999999</v>
      </c>
      <c r="N36" s="112">
        <v>0.29899999999999999</v>
      </c>
      <c r="O36" s="112">
        <v>0.26600000000000001</v>
      </c>
      <c r="P36" s="106"/>
      <c r="Q36" s="112">
        <v>0.29399999999999998</v>
      </c>
      <c r="S36" s="112">
        <v>0.32400000000000001</v>
      </c>
      <c r="T36" s="112">
        <v>0.26500000000000001</v>
      </c>
      <c r="U36" s="112">
        <v>0.28000000000000003</v>
      </c>
      <c r="V36" s="112">
        <v>0.28299999999999997</v>
      </c>
      <c r="X36" s="112">
        <v>0.28699999999999998</v>
      </c>
    </row>
    <row r="37" spans="1:35" s="47" customFormat="1" ht="16.5" x14ac:dyDescent="0.25">
      <c r="A37" s="114"/>
      <c r="B37" s="114"/>
      <c r="C37" s="68"/>
      <c r="E37" s="68"/>
      <c r="F37" s="68"/>
      <c r="G37" s="68"/>
      <c r="H37" s="68"/>
      <c r="J37" s="68"/>
      <c r="L37" s="68"/>
      <c r="M37" s="68"/>
      <c r="N37" s="68"/>
      <c r="O37" s="68"/>
      <c r="S37" s="68"/>
      <c r="T37" s="68"/>
      <c r="U37" s="68"/>
      <c r="V37" s="68"/>
    </row>
    <row r="38" spans="1:35" x14ac:dyDescent="0.2">
      <c r="A38" s="3"/>
      <c r="B38" s="3"/>
    </row>
    <row r="39" spans="1:35" x14ac:dyDescent="0.2">
      <c r="A39" s="3"/>
      <c r="B39" s="3"/>
    </row>
    <row r="40" spans="1:35" x14ac:dyDescent="0.2">
      <c r="A40" s="3"/>
      <c r="B40" s="3"/>
    </row>
    <row r="41" spans="1:35" x14ac:dyDescent="0.2">
      <c r="A41" s="3"/>
      <c r="B41" s="3"/>
    </row>
    <row r="42" spans="1:35" x14ac:dyDescent="0.2">
      <c r="A42" s="3"/>
      <c r="B42" s="3"/>
    </row>
    <row r="43" spans="1:35" x14ac:dyDescent="0.2">
      <c r="A43" s="3"/>
      <c r="B43" s="3"/>
    </row>
    <row r="44" spans="1:35" x14ac:dyDescent="0.2">
      <c r="A44" s="3"/>
      <c r="B44" s="3"/>
    </row>
    <row r="45" spans="1:35" x14ac:dyDescent="0.2">
      <c r="A45" s="3"/>
      <c r="B45" s="3"/>
    </row>
    <row r="46" spans="1:35" x14ac:dyDescent="0.2">
      <c r="A46" s="3"/>
      <c r="B46" s="3"/>
    </row>
    <row r="47" spans="1:35" x14ac:dyDescent="0.2">
      <c r="A47" s="3"/>
      <c r="B47" s="3"/>
    </row>
    <row r="48" spans="1:35" x14ac:dyDescent="0.2">
      <c r="A48" s="3"/>
      <c r="B48" s="3"/>
    </row>
    <row r="49" spans="1:2" x14ac:dyDescent="0.2">
      <c r="A49" s="3"/>
      <c r="B49" s="3"/>
    </row>
    <row r="50" spans="1:2" x14ac:dyDescent="0.2">
      <c r="A50" s="3"/>
      <c r="B50" s="3"/>
    </row>
    <row r="51" spans="1:2" x14ac:dyDescent="0.2">
      <c r="A51" s="3"/>
      <c r="B51" s="3"/>
    </row>
    <row r="52" spans="1:2" x14ac:dyDescent="0.2">
      <c r="A52" s="3"/>
      <c r="B52" s="3"/>
    </row>
    <row r="53" spans="1:2" x14ac:dyDescent="0.2">
      <c r="A53" s="3"/>
      <c r="B53" s="3"/>
    </row>
    <row r="54" spans="1:2" x14ac:dyDescent="0.2">
      <c r="A54" s="3"/>
      <c r="B54" s="3"/>
    </row>
    <row r="55" spans="1:2" x14ac:dyDescent="0.2">
      <c r="A55" s="3"/>
      <c r="B55" s="3"/>
    </row>
    <row r="56" spans="1:2" x14ac:dyDescent="0.2">
      <c r="A56" s="3"/>
      <c r="B56" s="3"/>
    </row>
    <row r="57" spans="1:2" x14ac:dyDescent="0.2">
      <c r="A57" s="3"/>
      <c r="B57" s="3"/>
    </row>
    <row r="58" spans="1:2" x14ac:dyDescent="0.2">
      <c r="A58" s="3"/>
      <c r="B58" s="3"/>
    </row>
    <row r="59" spans="1:2" x14ac:dyDescent="0.2">
      <c r="A59" s="3"/>
      <c r="B59" s="3"/>
    </row>
    <row r="60" spans="1:2" x14ac:dyDescent="0.2">
      <c r="A60" s="3"/>
      <c r="B60" s="3"/>
    </row>
    <row r="61" spans="1:2" x14ac:dyDescent="0.2">
      <c r="A61" s="3"/>
      <c r="B61" s="3"/>
    </row>
    <row r="62" spans="1:2" x14ac:dyDescent="0.2">
      <c r="A62" s="3"/>
      <c r="B62" s="3"/>
    </row>
    <row r="63" spans="1:2" x14ac:dyDescent="0.2">
      <c r="A63" s="3"/>
      <c r="B63" s="3"/>
    </row>
    <row r="64" spans="1:2" x14ac:dyDescent="0.2">
      <c r="A64" s="3"/>
      <c r="B64" s="3"/>
    </row>
    <row r="65" spans="1:2" x14ac:dyDescent="0.2">
      <c r="A65" s="3"/>
      <c r="B65" s="3"/>
    </row>
    <row r="66" spans="1:2" x14ac:dyDescent="0.2">
      <c r="A66" s="3"/>
      <c r="B66" s="3"/>
    </row>
    <row r="67" spans="1:2" x14ac:dyDescent="0.2">
      <c r="A67" s="3"/>
      <c r="B67" s="3"/>
    </row>
    <row r="68" spans="1:2" x14ac:dyDescent="0.2">
      <c r="A68" s="3"/>
      <c r="B68" s="3"/>
    </row>
    <row r="69" spans="1:2" x14ac:dyDescent="0.2">
      <c r="A69" s="3"/>
      <c r="B69" s="3"/>
    </row>
    <row r="70" spans="1:2" x14ac:dyDescent="0.2">
      <c r="A70" s="3"/>
      <c r="B70" s="3"/>
    </row>
    <row r="71" spans="1:2" x14ac:dyDescent="0.2">
      <c r="A71" s="3"/>
      <c r="B71" s="3"/>
    </row>
    <row r="72" spans="1:2" x14ac:dyDescent="0.2">
      <c r="A72" s="3"/>
      <c r="B72" s="3"/>
    </row>
    <row r="73" spans="1:2" x14ac:dyDescent="0.2">
      <c r="A73" s="3"/>
      <c r="B73" s="3"/>
    </row>
    <row r="74" spans="1:2" x14ac:dyDescent="0.2">
      <c r="A74" s="3"/>
      <c r="B74" s="3"/>
    </row>
    <row r="75" spans="1:2" x14ac:dyDescent="0.2">
      <c r="A75" s="3"/>
      <c r="B75" s="3"/>
    </row>
    <row r="76" spans="1:2" x14ac:dyDescent="0.2">
      <c r="A76" s="3"/>
      <c r="B76" s="3"/>
    </row>
    <row r="77" spans="1:2" x14ac:dyDescent="0.2">
      <c r="A77" s="3"/>
      <c r="B77" s="3"/>
    </row>
    <row r="78" spans="1:2" x14ac:dyDescent="0.2">
      <c r="A78" s="3"/>
      <c r="B78" s="3"/>
    </row>
    <row r="79" spans="1:2" x14ac:dyDescent="0.2">
      <c r="A79" s="3"/>
      <c r="B79" s="3"/>
    </row>
    <row r="80" spans="1:2" x14ac:dyDescent="0.2">
      <c r="A80" s="3"/>
      <c r="B80" s="3"/>
    </row>
    <row r="81" spans="1:2" x14ac:dyDescent="0.2">
      <c r="A81" s="3"/>
      <c r="B81" s="3"/>
    </row>
    <row r="82" spans="1:2" x14ac:dyDescent="0.2">
      <c r="A82" s="3"/>
      <c r="B82" s="3"/>
    </row>
    <row r="83" spans="1:2" x14ac:dyDescent="0.2">
      <c r="A83" s="3"/>
      <c r="B83" s="3"/>
    </row>
    <row r="84" spans="1:2" x14ac:dyDescent="0.2">
      <c r="A84" s="3"/>
      <c r="B84" s="3"/>
    </row>
    <row r="85" spans="1:2" x14ac:dyDescent="0.2">
      <c r="A85" s="3"/>
      <c r="B85" s="3"/>
    </row>
    <row r="86" spans="1:2" x14ac:dyDescent="0.2">
      <c r="A86" s="3"/>
      <c r="B86" s="3"/>
    </row>
    <row r="87" spans="1:2" x14ac:dyDescent="0.2">
      <c r="A87" s="3"/>
      <c r="B87" s="3"/>
    </row>
    <row r="88" spans="1:2" x14ac:dyDescent="0.2">
      <c r="A88" s="3"/>
      <c r="B88" s="3"/>
    </row>
    <row r="89" spans="1:2" x14ac:dyDescent="0.2">
      <c r="A89" s="3"/>
      <c r="B89" s="3"/>
    </row>
    <row r="90" spans="1:2" x14ac:dyDescent="0.2">
      <c r="A90" s="3"/>
      <c r="B90" s="3"/>
    </row>
    <row r="91" spans="1:2" x14ac:dyDescent="0.2">
      <c r="A91" s="3"/>
      <c r="B91" s="3"/>
    </row>
    <row r="92" spans="1:2" x14ac:dyDescent="0.2">
      <c r="A92" s="3"/>
      <c r="B92" s="3"/>
    </row>
    <row r="93" spans="1:2" x14ac:dyDescent="0.2">
      <c r="A93" s="3"/>
      <c r="B93" s="3"/>
    </row>
    <row r="94" spans="1:2" x14ac:dyDescent="0.2">
      <c r="A94" s="3"/>
      <c r="B94" s="3"/>
    </row>
    <row r="95" spans="1:2" x14ac:dyDescent="0.2">
      <c r="A95" s="3"/>
      <c r="B95" s="3"/>
    </row>
    <row r="96" spans="1:2" x14ac:dyDescent="0.2">
      <c r="A96" s="3"/>
      <c r="B96" s="3"/>
    </row>
    <row r="97" spans="1:2" x14ac:dyDescent="0.2">
      <c r="A97" s="3"/>
      <c r="B97" s="3"/>
    </row>
    <row r="98" spans="1:2" x14ac:dyDescent="0.2">
      <c r="A98" s="3"/>
      <c r="B98" s="3"/>
    </row>
    <row r="99" spans="1:2" x14ac:dyDescent="0.2">
      <c r="A99" s="3"/>
      <c r="B99" s="3"/>
    </row>
    <row r="100" spans="1:2" x14ac:dyDescent="0.2">
      <c r="A100" s="3"/>
      <c r="B100" s="3"/>
    </row>
    <row r="101" spans="1:2" x14ac:dyDescent="0.2">
      <c r="A101" s="3"/>
      <c r="B101" s="3"/>
    </row>
    <row r="102" spans="1:2" x14ac:dyDescent="0.2">
      <c r="A102" s="3"/>
      <c r="B102" s="3"/>
    </row>
    <row r="103" spans="1:2" x14ac:dyDescent="0.2">
      <c r="A103" s="3"/>
      <c r="B103" s="3"/>
    </row>
    <row r="104" spans="1:2" x14ac:dyDescent="0.2">
      <c r="A104" s="3"/>
      <c r="B104" s="3"/>
    </row>
    <row r="105" spans="1:2" x14ac:dyDescent="0.2">
      <c r="A105" s="3"/>
      <c r="B105" s="3"/>
    </row>
    <row r="106" spans="1:2" x14ac:dyDescent="0.2">
      <c r="A106" s="3"/>
      <c r="B106" s="3"/>
    </row>
    <row r="107" spans="1:2" x14ac:dyDescent="0.2">
      <c r="A107" s="3"/>
      <c r="B107" s="3"/>
    </row>
    <row r="108" spans="1:2" x14ac:dyDescent="0.2">
      <c r="A108" s="3"/>
      <c r="B108" s="3"/>
    </row>
    <row r="109" spans="1:2" x14ac:dyDescent="0.2">
      <c r="A109" s="3"/>
      <c r="B109" s="3"/>
    </row>
    <row r="110" spans="1:2" x14ac:dyDescent="0.2">
      <c r="A110" s="3"/>
      <c r="B110" s="3"/>
    </row>
    <row r="111" spans="1:2" x14ac:dyDescent="0.2">
      <c r="A111" s="3"/>
      <c r="B111" s="3"/>
    </row>
    <row r="112" spans="1:2" x14ac:dyDescent="0.2">
      <c r="A112" s="3"/>
      <c r="B112" s="3"/>
    </row>
    <row r="113" spans="1:2" x14ac:dyDescent="0.2">
      <c r="A113" s="3"/>
      <c r="B113" s="3"/>
    </row>
    <row r="114" spans="1:2" x14ac:dyDescent="0.2">
      <c r="A114" s="3"/>
      <c r="B114" s="3"/>
    </row>
    <row r="115" spans="1:2" x14ac:dyDescent="0.2">
      <c r="A115" s="3"/>
      <c r="B115" s="3"/>
    </row>
    <row r="116" spans="1:2" x14ac:dyDescent="0.2">
      <c r="A116" s="3"/>
      <c r="B116" s="3"/>
    </row>
    <row r="117" spans="1:2" x14ac:dyDescent="0.2">
      <c r="A117" s="3"/>
      <c r="B117" s="3"/>
    </row>
    <row r="118" spans="1:2" x14ac:dyDescent="0.2">
      <c r="A118" s="3"/>
      <c r="B118" s="3"/>
    </row>
    <row r="119" spans="1:2" x14ac:dyDescent="0.2">
      <c r="A119" s="3"/>
      <c r="B119" s="3"/>
    </row>
    <row r="120" spans="1:2" x14ac:dyDescent="0.2">
      <c r="A120" s="3"/>
      <c r="B120" s="3"/>
    </row>
    <row r="121" spans="1:2" x14ac:dyDescent="0.2">
      <c r="A121" s="3"/>
      <c r="B121" s="3"/>
    </row>
    <row r="122" spans="1:2" x14ac:dyDescent="0.2">
      <c r="A122" s="3"/>
      <c r="B122" s="3"/>
    </row>
    <row r="123" spans="1:2" x14ac:dyDescent="0.2">
      <c r="A123" s="3"/>
      <c r="B123" s="3"/>
    </row>
    <row r="124" spans="1:2" x14ac:dyDescent="0.2">
      <c r="A124" s="3"/>
      <c r="B124" s="3"/>
    </row>
    <row r="125" spans="1:2" x14ac:dyDescent="0.2">
      <c r="A125" s="3"/>
      <c r="B125" s="3"/>
    </row>
    <row r="126" spans="1:2" x14ac:dyDescent="0.2">
      <c r="A126" s="3"/>
      <c r="B126" s="3"/>
    </row>
    <row r="127" spans="1:2" x14ac:dyDescent="0.2">
      <c r="A127" s="3"/>
      <c r="B127" s="3"/>
    </row>
    <row r="128" spans="1:2" x14ac:dyDescent="0.2">
      <c r="A128" s="3"/>
      <c r="B128" s="3"/>
    </row>
    <row r="129" spans="1:2" x14ac:dyDescent="0.2">
      <c r="A129" s="3"/>
      <c r="B129" s="3"/>
    </row>
  </sheetData>
  <mergeCells count="3">
    <mergeCell ref="E3:H3"/>
    <mergeCell ref="L3:O3"/>
    <mergeCell ref="S3:V3"/>
  </mergeCells>
  <pageMargins left="0.25" right="0.25" top="0.75" bottom="0.75" header="0.3" footer="0.3"/>
  <pageSetup scale="3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00FF"/>
    <pageSetUpPr fitToPage="1"/>
  </sheetPr>
  <dimension ref="A1:X108"/>
  <sheetViews>
    <sheetView zoomScale="65" zoomScaleNormal="65" zoomScaleSheetLayoutView="90" workbookViewId="0">
      <pane xSplit="1" ySplit="4" topLeftCell="B5" activePane="bottomRight" state="frozen"/>
      <selection activeCell="A30" sqref="A30"/>
      <selection pane="topRight" activeCell="A30" sqref="A30"/>
      <selection pane="bottomLeft" activeCell="A30" sqref="A30"/>
      <selection pane="bottomRight" activeCell="B5" sqref="B5"/>
    </sheetView>
  </sheetViews>
  <sheetFormatPr defaultColWidth="9.140625" defaultRowHeight="11.25" outlineLevelCol="2" x14ac:dyDescent="0.2"/>
  <cols>
    <col min="1" max="1" width="43" style="4" bestFit="1" customWidth="1"/>
    <col min="2" max="3" width="20.7109375" style="8" customWidth="1" outlineLevel="1"/>
    <col min="4" max="4" width="1.7109375" style="8" hidden="1" customWidth="1" outlineLevel="2"/>
    <col min="5" max="8" width="20.7109375" style="8" hidden="1" customWidth="1" outlineLevel="2"/>
    <col min="9" max="9" width="1.7109375" style="8" hidden="1" customWidth="1" outlineLevel="2"/>
    <col min="10" max="10" width="20.7109375" style="8" customWidth="1" outlineLevel="1" collapsed="1"/>
    <col min="11" max="11" width="1.7109375" style="8" customWidth="1"/>
    <col min="12" max="15" width="20.7109375" style="8" customWidth="1" outlineLevel="1"/>
    <col min="16" max="16" width="1.7109375" style="8" customWidth="1"/>
    <col min="17" max="17" width="20.7109375" style="8" customWidth="1"/>
    <col min="18" max="18" width="1.28515625" style="8" customWidth="1"/>
    <col min="19" max="22" width="20.7109375" style="8" customWidth="1"/>
    <col min="23" max="23" width="2.7109375" style="8" customWidth="1"/>
    <col min="24" max="24" width="20.7109375" style="8" customWidth="1"/>
    <col min="25" max="16384" width="9.140625" style="14"/>
  </cols>
  <sheetData>
    <row r="1" spans="1:24" s="8" customFormat="1" ht="18" x14ac:dyDescent="0.25">
      <c r="A1" s="198" t="s">
        <v>167</v>
      </c>
    </row>
    <row r="2" spans="1:24" s="8" customFormat="1" x14ac:dyDescent="0.2">
      <c r="A2" s="1"/>
      <c r="B2" s="9"/>
      <c r="C2" s="9"/>
      <c r="D2" s="9"/>
      <c r="E2" s="9"/>
      <c r="F2" s="9"/>
      <c r="G2" s="9"/>
      <c r="H2" s="9"/>
      <c r="I2" s="9"/>
      <c r="J2" s="9"/>
      <c r="K2" s="9"/>
      <c r="L2" s="9"/>
      <c r="M2" s="9"/>
      <c r="N2" s="9"/>
      <c r="O2" s="9"/>
      <c r="P2" s="9"/>
      <c r="Q2" s="9"/>
      <c r="R2" s="9"/>
      <c r="S2" s="9"/>
      <c r="T2" s="9"/>
      <c r="U2" s="9"/>
      <c r="V2" s="9"/>
      <c r="W2" s="9"/>
      <c r="X2" s="9"/>
    </row>
    <row r="3" spans="1:24" s="24" customFormat="1" ht="30" customHeight="1" x14ac:dyDescent="0.25">
      <c r="A3" s="78"/>
      <c r="B3" s="196" t="s">
        <v>31</v>
      </c>
      <c r="C3" s="196" t="s">
        <v>31</v>
      </c>
      <c r="D3" s="80"/>
      <c r="E3" s="354" t="s">
        <v>1</v>
      </c>
      <c r="F3" s="354"/>
      <c r="G3" s="354"/>
      <c r="H3" s="354"/>
      <c r="I3" s="80"/>
      <c r="J3" s="81" t="s">
        <v>31</v>
      </c>
      <c r="K3" s="80"/>
      <c r="L3" s="354" t="s">
        <v>1</v>
      </c>
      <c r="M3" s="354"/>
      <c r="N3" s="354"/>
      <c r="O3" s="354"/>
      <c r="P3" s="80"/>
      <c r="Q3" s="262" t="s">
        <v>31</v>
      </c>
      <c r="R3" s="110"/>
      <c r="S3" s="354" t="s">
        <v>1</v>
      </c>
      <c r="T3" s="354"/>
      <c r="U3" s="354"/>
      <c r="V3" s="354"/>
      <c r="X3" s="303" t="s">
        <v>31</v>
      </c>
    </row>
    <row r="4" spans="1:24" s="24" customFormat="1" ht="30" customHeight="1" x14ac:dyDescent="0.25">
      <c r="A4" s="83" t="s">
        <v>0</v>
      </c>
      <c r="B4" s="84" t="s">
        <v>155</v>
      </c>
      <c r="C4" s="84" t="s">
        <v>159</v>
      </c>
      <c r="D4" s="86"/>
      <c r="E4" s="84" t="s">
        <v>156</v>
      </c>
      <c r="F4" s="84" t="s">
        <v>157</v>
      </c>
      <c r="G4" s="84" t="s">
        <v>158</v>
      </c>
      <c r="H4" s="84" t="s">
        <v>100</v>
      </c>
      <c r="I4" s="86"/>
      <c r="J4" s="84" t="s">
        <v>100</v>
      </c>
      <c r="K4" s="86"/>
      <c r="L4" s="84" t="s">
        <v>148</v>
      </c>
      <c r="M4" s="84" t="s">
        <v>149</v>
      </c>
      <c r="N4" s="84" t="s">
        <v>109</v>
      </c>
      <c r="O4" s="84" t="s">
        <v>314</v>
      </c>
      <c r="P4" s="86"/>
      <c r="Q4" s="84" t="s">
        <v>314</v>
      </c>
      <c r="R4" s="86"/>
      <c r="S4" s="84" t="s">
        <v>327</v>
      </c>
      <c r="T4" s="84" t="s">
        <v>330</v>
      </c>
      <c r="U4" s="84" t="s">
        <v>338</v>
      </c>
      <c r="V4" s="84" t="s">
        <v>346</v>
      </c>
      <c r="X4" s="84" t="s">
        <v>346</v>
      </c>
    </row>
    <row r="5" spans="1:24" s="8" customFormat="1" x14ac:dyDescent="0.2">
      <c r="A5" s="5"/>
    </row>
    <row r="6" spans="1:24" s="47" customFormat="1" ht="16.5" x14ac:dyDescent="0.25">
      <c r="A6" s="58" t="s">
        <v>22</v>
      </c>
      <c r="B6" s="56">
        <v>705.9</v>
      </c>
      <c r="C6" s="56">
        <v>740.1</v>
      </c>
      <c r="E6" s="56">
        <v>186.5</v>
      </c>
      <c r="F6" s="56">
        <v>200.8</v>
      </c>
      <c r="G6" s="56">
        <v>197.5</v>
      </c>
      <c r="H6" s="56">
        <v>211.5</v>
      </c>
      <c r="J6" s="56">
        <v>796.3</v>
      </c>
      <c r="L6" s="56">
        <v>207.1</v>
      </c>
      <c r="M6" s="56">
        <v>211.4</v>
      </c>
      <c r="N6" s="56">
        <f>+'CES Revenue Metrics'!N11</f>
        <v>217.93599999999998</v>
      </c>
      <c r="O6" s="56">
        <f>+'CES Revenue Metrics'!O11</f>
        <v>210.05800000000002</v>
      </c>
      <c r="Q6" s="56">
        <f>+'CES Revenue Metrics'!Q11</f>
        <v>846.52699999999993</v>
      </c>
      <c r="S6" s="56">
        <f>+'CES Revenue Metrics'!S11</f>
        <v>185.86500000000001</v>
      </c>
      <c r="T6" s="56">
        <f>+'CES Revenue Metrics'!T11</f>
        <v>204.08</v>
      </c>
      <c r="U6" s="56">
        <f>+'CES Revenue Metrics'!U11</f>
        <v>215.22199999999998</v>
      </c>
      <c r="V6" s="56">
        <f>+'CES Revenue Metrics'!V11</f>
        <v>225.07999999999998</v>
      </c>
      <c r="X6" s="56">
        <f>+'CES Revenue Metrics'!X11</f>
        <v>830.24699999999996</v>
      </c>
    </row>
    <row r="7" spans="1:24" s="47" customFormat="1" ht="16.5" x14ac:dyDescent="0.25">
      <c r="A7" s="58" t="s">
        <v>23</v>
      </c>
      <c r="B7" s="104">
        <v>356.2</v>
      </c>
      <c r="C7" s="104">
        <v>395.1</v>
      </c>
      <c r="D7" s="105"/>
      <c r="E7" s="104">
        <v>102.7</v>
      </c>
      <c r="F7" s="104">
        <v>105.5</v>
      </c>
      <c r="G7" s="104">
        <v>106.5</v>
      </c>
      <c r="H7" s="104">
        <v>118.7</v>
      </c>
      <c r="I7" s="105"/>
      <c r="J7" s="104">
        <v>433.4</v>
      </c>
      <c r="K7" s="105"/>
      <c r="L7" s="104">
        <v>108.2</v>
      </c>
      <c r="M7" s="104">
        <v>112.9</v>
      </c>
      <c r="N7" s="104">
        <f>+'CIS Revenue Metrics'!N8</f>
        <v>106.931</v>
      </c>
      <c r="O7" s="104">
        <f>+'CIS Revenue Metrics'!O8</f>
        <v>129.14499999999998</v>
      </c>
      <c r="P7" s="105"/>
      <c r="Q7" s="104">
        <f>+'CIS Revenue Metrics'!Q8</f>
        <v>457.10900000000004</v>
      </c>
      <c r="R7" s="105"/>
      <c r="S7" s="104">
        <f>+'CIS Revenue Metrics'!S8</f>
        <v>101.43</v>
      </c>
      <c r="T7" s="104">
        <f>+'CIS Revenue Metrics'!T8</f>
        <v>105.029</v>
      </c>
      <c r="U7" s="104">
        <f>+'CIS Revenue Metrics'!U8</f>
        <v>112.979</v>
      </c>
      <c r="V7" s="104">
        <f>+'CIS Revenue Metrics'!V8</f>
        <v>124.02000000000001</v>
      </c>
      <c r="W7" s="105"/>
      <c r="X7" s="104">
        <f>+'CIS Revenue Metrics'!X8</f>
        <v>443.45799999999997</v>
      </c>
    </row>
    <row r="8" spans="1:24" s="47" customFormat="1" ht="16.5" x14ac:dyDescent="0.25">
      <c r="A8" s="65" t="s">
        <v>24</v>
      </c>
      <c r="B8" s="68">
        <v>1062.0999999999999</v>
      </c>
      <c r="C8" s="68">
        <v>1135.2</v>
      </c>
      <c r="D8" s="106"/>
      <c r="E8" s="68">
        <v>289.2</v>
      </c>
      <c r="F8" s="68">
        <v>306.3</v>
      </c>
      <c r="G8" s="68">
        <v>304</v>
      </c>
      <c r="H8" s="68">
        <v>330.2</v>
      </c>
      <c r="I8" s="106"/>
      <c r="J8" s="68">
        <v>1229.6999999999998</v>
      </c>
      <c r="K8" s="106"/>
      <c r="L8" s="68">
        <v>315.3</v>
      </c>
      <c r="M8" s="68">
        <v>324.3</v>
      </c>
      <c r="N8" s="68">
        <f>+N6+N7</f>
        <v>324.86699999999996</v>
      </c>
      <c r="O8" s="68">
        <f>+O6+O7</f>
        <v>339.20299999999997</v>
      </c>
      <c r="P8" s="106"/>
      <c r="Q8" s="68">
        <f>+Q6+Q7</f>
        <v>1303.636</v>
      </c>
      <c r="R8" s="106"/>
      <c r="S8" s="68">
        <f>+S6+S7</f>
        <v>287.29500000000002</v>
      </c>
      <c r="T8" s="68">
        <f>+T6+T7</f>
        <v>309.10900000000004</v>
      </c>
      <c r="U8" s="68">
        <f>+U6+U7</f>
        <v>328.20099999999996</v>
      </c>
      <c r="V8" s="68">
        <f>+V6+V7</f>
        <v>349.1</v>
      </c>
      <c r="W8" s="106"/>
      <c r="X8" s="68">
        <f>+X6+X7</f>
        <v>1273.7049999999999</v>
      </c>
    </row>
    <row r="9" spans="1:24" s="47" customFormat="1" ht="16.5" x14ac:dyDescent="0.25">
      <c r="B9" s="52"/>
      <c r="C9" s="52"/>
      <c r="E9" s="52"/>
      <c r="F9" s="52"/>
      <c r="G9" s="52"/>
      <c r="H9" s="52"/>
      <c r="J9" s="52"/>
      <c r="L9" s="52"/>
      <c r="M9" s="52"/>
      <c r="N9" s="52"/>
      <c r="O9" s="52"/>
      <c r="Q9" s="52"/>
      <c r="S9" s="52"/>
      <c r="T9" s="52"/>
      <c r="U9" s="52"/>
      <c r="V9" s="52"/>
      <c r="X9" s="52"/>
    </row>
    <row r="10" spans="1:24" s="47" customFormat="1" ht="16.5" x14ac:dyDescent="0.25">
      <c r="A10" s="65" t="s">
        <v>43</v>
      </c>
      <c r="B10" s="121"/>
      <c r="C10" s="121"/>
      <c r="D10" s="105"/>
      <c r="E10" s="121"/>
      <c r="F10" s="121"/>
      <c r="G10" s="121"/>
      <c r="H10" s="121"/>
      <c r="I10" s="105"/>
      <c r="J10" s="121"/>
      <c r="K10" s="105"/>
      <c r="L10" s="121"/>
      <c r="M10" s="121"/>
      <c r="N10" s="121"/>
      <c r="O10" s="121"/>
      <c r="P10" s="105"/>
      <c r="Q10" s="121"/>
      <c r="R10" s="105"/>
      <c r="S10" s="121"/>
      <c r="T10" s="121"/>
      <c r="U10" s="121"/>
      <c r="V10" s="121"/>
      <c r="W10" s="105"/>
      <c r="X10" s="121"/>
    </row>
    <row r="11" spans="1:24" s="47" customFormat="1" ht="16.5" x14ac:dyDescent="0.25">
      <c r="A11" s="58" t="s">
        <v>22</v>
      </c>
      <c r="B11" s="56">
        <v>10.3</v>
      </c>
      <c r="C11" s="56">
        <v>14.9</v>
      </c>
      <c r="D11" s="106"/>
      <c r="E11" s="56">
        <v>2.7</v>
      </c>
      <c r="F11" s="56">
        <v>2.2000000000000002</v>
      </c>
      <c r="G11" s="56">
        <v>4</v>
      </c>
      <c r="H11" s="56">
        <v>6.3</v>
      </c>
      <c r="I11" s="106"/>
      <c r="J11" s="56">
        <v>15</v>
      </c>
      <c r="K11" s="106"/>
      <c r="L11" s="56">
        <v>8.8000000000000007</v>
      </c>
      <c r="M11" s="56">
        <v>7</v>
      </c>
      <c r="N11" s="56">
        <f>+N16-N6</f>
        <v>6.2130000000000223</v>
      </c>
      <c r="O11" s="56">
        <f>+O16-O6</f>
        <v>4.7019999999999982</v>
      </c>
      <c r="P11" s="106"/>
      <c r="Q11" s="56">
        <f>+Q16-Q6</f>
        <v>26.66700000000003</v>
      </c>
      <c r="R11" s="106"/>
      <c r="S11" s="56">
        <f>+S16-S6</f>
        <v>3.2620000000000289</v>
      </c>
      <c r="T11" s="56">
        <f>+T16-T6</f>
        <v>3.0659999999999741</v>
      </c>
      <c r="U11" s="56">
        <f>+U16-U6</f>
        <v>2.2270000000000039</v>
      </c>
      <c r="V11" s="56">
        <f>+V16-V6</f>
        <v>1.7810000000000343</v>
      </c>
      <c r="W11" s="106"/>
      <c r="X11" s="56">
        <f>+X16-X6</f>
        <v>10.336000000000013</v>
      </c>
    </row>
    <row r="12" spans="1:24" s="47" customFormat="1" ht="16.5" x14ac:dyDescent="0.25">
      <c r="A12" s="58" t="s">
        <v>23</v>
      </c>
      <c r="B12" s="104">
        <v>0.3</v>
      </c>
      <c r="C12" s="104">
        <v>0.4</v>
      </c>
      <c r="E12" s="104">
        <v>0.1</v>
      </c>
      <c r="F12" s="104">
        <v>0</v>
      </c>
      <c r="G12" s="104">
        <v>0</v>
      </c>
      <c r="H12" s="104">
        <v>0.2</v>
      </c>
      <c r="J12" s="104">
        <v>0.4</v>
      </c>
      <c r="L12" s="104">
        <v>0.1</v>
      </c>
      <c r="M12" s="104">
        <v>0</v>
      </c>
      <c r="N12" s="104">
        <f t="shared" ref="N12:Q13" si="0">+N17-N7</f>
        <v>0</v>
      </c>
      <c r="O12" s="104">
        <f t="shared" ref="O12" si="1">+O17-O7</f>
        <v>5.5570000000000164</v>
      </c>
      <c r="Q12" s="104">
        <f t="shared" si="0"/>
        <v>5.70799999999997</v>
      </c>
      <c r="S12" s="104">
        <f t="shared" ref="S12:T13" si="2">+S17-S7</f>
        <v>1.0919999999999987</v>
      </c>
      <c r="T12" s="104">
        <f t="shared" si="2"/>
        <v>1.2379999999999995</v>
      </c>
      <c r="U12" s="104">
        <f t="shared" ref="U12:V12" si="3">+U17-U7</f>
        <v>0.69199999999999307</v>
      </c>
      <c r="V12" s="104">
        <f t="shared" si="3"/>
        <v>0.54699999999999704</v>
      </c>
      <c r="X12" s="104">
        <f t="shared" ref="X12" si="4">+X17-X7</f>
        <v>3.5690000000000168</v>
      </c>
    </row>
    <row r="13" spans="1:24" s="47" customFormat="1" ht="16.5" x14ac:dyDescent="0.25">
      <c r="A13" s="65" t="s">
        <v>44</v>
      </c>
      <c r="B13" s="68">
        <f>+B11+B12</f>
        <v>10.600000000000001</v>
      </c>
      <c r="C13" s="68">
        <f>+C11+C12</f>
        <v>15.3</v>
      </c>
      <c r="E13" s="68">
        <f>+E11+E12</f>
        <v>2.8000000000000003</v>
      </c>
      <c r="F13" s="68">
        <f>+F11+F12</f>
        <v>2.2000000000000002</v>
      </c>
      <c r="G13" s="68">
        <f>+G11+G12</f>
        <v>4</v>
      </c>
      <c r="H13" s="68">
        <f>+H11+H12</f>
        <v>6.5</v>
      </c>
      <c r="J13" s="68">
        <f>+J11+J12</f>
        <v>15.4</v>
      </c>
      <c r="L13" s="68">
        <f>+L11+L12</f>
        <v>8.9</v>
      </c>
      <c r="M13" s="68">
        <f>+M11+M12</f>
        <v>7</v>
      </c>
      <c r="N13" s="68">
        <f t="shared" si="0"/>
        <v>6.2130000000000223</v>
      </c>
      <c r="O13" s="68">
        <f t="shared" ref="O13" si="5">+O18-O8</f>
        <v>10.259000000000015</v>
      </c>
      <c r="Q13" s="68">
        <f t="shared" si="0"/>
        <v>32.375</v>
      </c>
      <c r="S13" s="68">
        <f t="shared" si="2"/>
        <v>4.3540000000000418</v>
      </c>
      <c r="T13" s="68">
        <f t="shared" si="2"/>
        <v>4.3039999999999736</v>
      </c>
      <c r="U13" s="68">
        <f t="shared" ref="U13:V13" si="6">+U18-U8</f>
        <v>2.9190000000000396</v>
      </c>
      <c r="V13" s="68">
        <f t="shared" si="6"/>
        <v>2.3279999999999745</v>
      </c>
      <c r="X13" s="68">
        <f t="shared" ref="X13" si="7">+X18-X8</f>
        <v>13.904999999999973</v>
      </c>
    </row>
    <row r="14" spans="1:24" s="47" customFormat="1" ht="16.5" x14ac:dyDescent="0.25">
      <c r="B14" s="52"/>
      <c r="C14" s="52"/>
      <c r="E14" s="52"/>
      <c r="F14" s="52"/>
      <c r="G14" s="52"/>
      <c r="H14" s="52"/>
      <c r="J14" s="52"/>
      <c r="L14" s="52"/>
      <c r="M14" s="52"/>
      <c r="N14" s="52"/>
      <c r="O14" s="52"/>
      <c r="Q14" s="52"/>
      <c r="S14" s="52"/>
      <c r="T14" s="52"/>
      <c r="U14" s="52"/>
      <c r="V14" s="52"/>
      <c r="X14" s="52"/>
    </row>
    <row r="15" spans="1:24" s="47" customFormat="1" ht="16.5" x14ac:dyDescent="0.25">
      <c r="A15" s="65" t="s">
        <v>26</v>
      </c>
      <c r="B15" s="52"/>
      <c r="C15" s="52"/>
      <c r="E15" s="52"/>
      <c r="F15" s="52"/>
      <c r="G15" s="52"/>
      <c r="H15" s="52"/>
      <c r="J15" s="52"/>
      <c r="L15" s="52"/>
      <c r="M15" s="52"/>
      <c r="N15" s="52"/>
      <c r="O15" s="52"/>
      <c r="Q15" s="52"/>
      <c r="S15" s="52"/>
      <c r="T15" s="52"/>
      <c r="U15" s="52"/>
      <c r="V15" s="52"/>
      <c r="X15" s="52"/>
    </row>
    <row r="16" spans="1:24" s="47" customFormat="1" ht="16.5" x14ac:dyDescent="0.25">
      <c r="A16" s="58" t="s">
        <v>22</v>
      </c>
      <c r="B16" s="56">
        <f>+B6+B11</f>
        <v>716.19999999999993</v>
      </c>
      <c r="C16" s="56">
        <f>+C6+C11</f>
        <v>755</v>
      </c>
      <c r="E16" s="56">
        <f t="shared" ref="E16:H17" si="8">+E6+E11</f>
        <v>189.2</v>
      </c>
      <c r="F16" s="56">
        <f t="shared" si="8"/>
        <v>203</v>
      </c>
      <c r="G16" s="56">
        <f t="shared" si="8"/>
        <v>201.5</v>
      </c>
      <c r="H16" s="56">
        <f t="shared" si="8"/>
        <v>217.8</v>
      </c>
      <c r="J16" s="56">
        <f>+J6+J11</f>
        <v>811.3</v>
      </c>
      <c r="L16" s="56">
        <f>+L6+L11</f>
        <v>215.9</v>
      </c>
      <c r="M16" s="56">
        <f>+M6+M11</f>
        <v>218.4</v>
      </c>
      <c r="N16" s="56">
        <f>+'CES Revenue Metrics'!N27</f>
        <v>224.149</v>
      </c>
      <c r="O16" s="56">
        <f>+'CES Revenue Metrics'!O27</f>
        <v>214.76000000000002</v>
      </c>
      <c r="Q16" s="56">
        <f>+'CES Revenue Metrics'!Q27</f>
        <v>873.19399999999996</v>
      </c>
      <c r="S16" s="56">
        <f>+'CES Revenue Metrics'!S27</f>
        <v>189.12700000000004</v>
      </c>
      <c r="T16" s="56">
        <f>+'CES Revenue Metrics'!T27</f>
        <v>207.14599999999999</v>
      </c>
      <c r="U16" s="56">
        <f>+'CES Revenue Metrics'!U27</f>
        <v>217.44899999999998</v>
      </c>
      <c r="V16" s="56">
        <f>+'CES Revenue Metrics'!V27</f>
        <v>226.86100000000002</v>
      </c>
      <c r="X16" s="56">
        <f>+'CES Revenue Metrics'!X27</f>
        <v>840.58299999999997</v>
      </c>
    </row>
    <row r="17" spans="1:24" s="47" customFormat="1" ht="16.5" x14ac:dyDescent="0.25">
      <c r="A17" s="58" t="s">
        <v>23</v>
      </c>
      <c r="B17" s="104">
        <f>+B7+B12</f>
        <v>356.5</v>
      </c>
      <c r="C17" s="104">
        <f>+C7+C12</f>
        <v>395.5</v>
      </c>
      <c r="D17" s="105"/>
      <c r="E17" s="104">
        <f t="shared" si="8"/>
        <v>102.8</v>
      </c>
      <c r="F17" s="104">
        <f t="shared" si="8"/>
        <v>105.5</v>
      </c>
      <c r="G17" s="104">
        <f t="shared" si="8"/>
        <v>106.5</v>
      </c>
      <c r="H17" s="104">
        <f t="shared" si="8"/>
        <v>118.9</v>
      </c>
      <c r="I17" s="105"/>
      <c r="J17" s="104">
        <f>+J7+J12</f>
        <v>433.79999999999995</v>
      </c>
      <c r="K17" s="105"/>
      <c r="L17" s="104">
        <f>+L7+L12</f>
        <v>108.3</v>
      </c>
      <c r="M17" s="104">
        <f>+M7+M12</f>
        <v>112.9</v>
      </c>
      <c r="N17" s="104">
        <f>+'CIS Revenue Metrics'!N16</f>
        <v>106.931</v>
      </c>
      <c r="O17" s="104">
        <f>+'CIS Revenue Metrics'!O16</f>
        <v>134.702</v>
      </c>
      <c r="P17" s="105"/>
      <c r="Q17" s="104">
        <f>+'CIS Revenue Metrics'!Q16</f>
        <v>462.81700000000001</v>
      </c>
      <c r="R17" s="105"/>
      <c r="S17" s="104">
        <f>+'CIS Revenue Metrics'!S16</f>
        <v>102.52200000000001</v>
      </c>
      <c r="T17" s="104">
        <f>+'CIS Revenue Metrics'!T16</f>
        <v>106.267</v>
      </c>
      <c r="U17" s="104">
        <f>+'CIS Revenue Metrics'!U16</f>
        <v>113.67099999999999</v>
      </c>
      <c r="V17" s="104">
        <f>+'CIS Revenue Metrics'!V16</f>
        <v>124.56700000000001</v>
      </c>
      <c r="W17" s="105"/>
      <c r="X17" s="104">
        <f>+'CIS Revenue Metrics'!X16</f>
        <v>447.02699999999999</v>
      </c>
    </row>
    <row r="18" spans="1:24" s="47" customFormat="1" ht="16.5" x14ac:dyDescent="0.25">
      <c r="A18" s="65" t="s">
        <v>25</v>
      </c>
      <c r="B18" s="68">
        <v>1072.6999999999998</v>
      </c>
      <c r="C18" s="68">
        <v>1150.5</v>
      </c>
      <c r="D18" s="106"/>
      <c r="E18" s="68">
        <v>292</v>
      </c>
      <c r="F18" s="68">
        <v>308.5</v>
      </c>
      <c r="G18" s="68">
        <v>308</v>
      </c>
      <c r="H18" s="68">
        <v>336.70000000000005</v>
      </c>
      <c r="I18" s="106"/>
      <c r="J18" s="68">
        <v>1245.0999999999999</v>
      </c>
      <c r="K18" s="106"/>
      <c r="L18" s="68">
        <v>324.2</v>
      </c>
      <c r="M18" s="68">
        <v>331.3</v>
      </c>
      <c r="N18" s="68">
        <f>+N16+N17</f>
        <v>331.08</v>
      </c>
      <c r="O18" s="68">
        <f>+O16+O17</f>
        <v>349.46199999999999</v>
      </c>
      <c r="P18" s="106"/>
      <c r="Q18" s="68">
        <f>+Q16+Q17</f>
        <v>1336.011</v>
      </c>
      <c r="R18" s="106"/>
      <c r="S18" s="68">
        <f>+S16+S17</f>
        <v>291.64900000000006</v>
      </c>
      <c r="T18" s="68">
        <f>+T16+T17</f>
        <v>313.41300000000001</v>
      </c>
      <c r="U18" s="68">
        <f>+U16+U17</f>
        <v>331.12</v>
      </c>
      <c r="V18" s="68">
        <f>+V16+V17</f>
        <v>351.428</v>
      </c>
      <c r="W18" s="106"/>
      <c r="X18" s="68">
        <f>+X16+X17</f>
        <v>1287.6099999999999</v>
      </c>
    </row>
    <row r="19" spans="1:24" s="8" customFormat="1" x14ac:dyDescent="0.2"/>
    <row r="20" spans="1:24" s="8" customFormat="1" x14ac:dyDescent="0.2">
      <c r="A20" s="3"/>
    </row>
    <row r="21" spans="1:24" s="8" customFormat="1" x14ac:dyDescent="0.2">
      <c r="A21" s="3"/>
    </row>
    <row r="22" spans="1:24" s="8" customFormat="1" x14ac:dyDescent="0.2">
      <c r="A22" s="3"/>
    </row>
    <row r="23" spans="1:24" s="8" customFormat="1" x14ac:dyDescent="0.2">
      <c r="A23" s="3"/>
    </row>
    <row r="24" spans="1:24" s="8" customFormat="1" x14ac:dyDescent="0.2">
      <c r="A24" s="3"/>
    </row>
    <row r="25" spans="1:24" s="8" customFormat="1" x14ac:dyDescent="0.2">
      <c r="A25" s="3"/>
    </row>
    <row r="26" spans="1:24" s="8" customFormat="1" x14ac:dyDescent="0.2">
      <c r="A26" s="3"/>
    </row>
    <row r="27" spans="1:24" s="8" customFormat="1" x14ac:dyDescent="0.2">
      <c r="A27" s="3"/>
    </row>
    <row r="28" spans="1:24" s="8" customFormat="1" x14ac:dyDescent="0.2">
      <c r="A28" s="3"/>
    </row>
    <row r="29" spans="1:24" s="8" customFormat="1" x14ac:dyDescent="0.2">
      <c r="A29" s="3"/>
    </row>
    <row r="30" spans="1:24" s="8" customFormat="1" x14ac:dyDescent="0.2">
      <c r="A30" s="3"/>
    </row>
    <row r="31" spans="1:24" s="8" customFormat="1" x14ac:dyDescent="0.2">
      <c r="A31" s="3"/>
    </row>
    <row r="32" spans="1:24" s="8" customFormat="1" x14ac:dyDescent="0.2">
      <c r="A32" s="3"/>
    </row>
    <row r="33" spans="1:1" s="8" customFormat="1" x14ac:dyDescent="0.2">
      <c r="A33" s="3"/>
    </row>
    <row r="34" spans="1:1" s="8" customFormat="1" x14ac:dyDescent="0.2">
      <c r="A34" s="3"/>
    </row>
    <row r="35" spans="1:1" s="8" customFormat="1" x14ac:dyDescent="0.2">
      <c r="A35" s="3"/>
    </row>
    <row r="36" spans="1:1" s="8" customFormat="1" x14ac:dyDescent="0.2">
      <c r="A36" s="3"/>
    </row>
    <row r="37" spans="1:1" s="8" customFormat="1" x14ac:dyDescent="0.2">
      <c r="A37" s="3"/>
    </row>
    <row r="38" spans="1:1" s="8" customFormat="1" x14ac:dyDescent="0.2">
      <c r="A38" s="3"/>
    </row>
    <row r="39" spans="1:1" s="8" customFormat="1" x14ac:dyDescent="0.2">
      <c r="A39" s="3"/>
    </row>
    <row r="40" spans="1:1" s="8" customFormat="1" x14ac:dyDescent="0.2">
      <c r="A40" s="3"/>
    </row>
    <row r="41" spans="1:1" s="8" customFormat="1" x14ac:dyDescent="0.2">
      <c r="A41" s="3"/>
    </row>
    <row r="42" spans="1:1" s="8" customFormat="1" x14ac:dyDescent="0.2">
      <c r="A42" s="3"/>
    </row>
    <row r="43" spans="1:1" s="8" customFormat="1" x14ac:dyDescent="0.2">
      <c r="A43" s="3"/>
    </row>
    <row r="44" spans="1:1" s="8" customFormat="1" x14ac:dyDescent="0.2">
      <c r="A44" s="3"/>
    </row>
    <row r="45" spans="1:1" s="8" customFormat="1" x14ac:dyDescent="0.2">
      <c r="A45" s="3"/>
    </row>
    <row r="46" spans="1:1" s="8" customFormat="1" x14ac:dyDescent="0.2">
      <c r="A46" s="3"/>
    </row>
    <row r="47" spans="1:1" s="8" customFormat="1" x14ac:dyDescent="0.2">
      <c r="A47" s="3"/>
    </row>
    <row r="48" spans="1:1" s="8" customFormat="1" x14ac:dyDescent="0.2">
      <c r="A48" s="3"/>
    </row>
    <row r="49" spans="1:1" s="8" customFormat="1" x14ac:dyDescent="0.2">
      <c r="A49" s="3"/>
    </row>
    <row r="50" spans="1:1" s="8" customFormat="1" x14ac:dyDescent="0.2">
      <c r="A50" s="3"/>
    </row>
    <row r="51" spans="1:1" s="8" customFormat="1" x14ac:dyDescent="0.2">
      <c r="A51" s="3"/>
    </row>
    <row r="52" spans="1:1" s="8" customFormat="1" x14ac:dyDescent="0.2">
      <c r="A52" s="3"/>
    </row>
    <row r="53" spans="1:1" s="8" customFormat="1" x14ac:dyDescent="0.2">
      <c r="A53" s="3"/>
    </row>
    <row r="54" spans="1:1" s="8" customFormat="1" x14ac:dyDescent="0.2">
      <c r="A54" s="3"/>
    </row>
    <row r="55" spans="1:1" s="8" customFormat="1" x14ac:dyDescent="0.2">
      <c r="A55" s="3"/>
    </row>
    <row r="56" spans="1:1" s="8" customFormat="1" x14ac:dyDescent="0.2">
      <c r="A56" s="3"/>
    </row>
    <row r="57" spans="1:1" s="8" customFormat="1" x14ac:dyDescent="0.2">
      <c r="A57" s="3"/>
    </row>
    <row r="58" spans="1:1" s="8" customFormat="1" x14ac:dyDescent="0.2">
      <c r="A58" s="3"/>
    </row>
    <row r="59" spans="1:1" s="8" customFormat="1" x14ac:dyDescent="0.2">
      <c r="A59" s="3"/>
    </row>
    <row r="60" spans="1:1" s="8" customFormat="1" x14ac:dyDescent="0.2">
      <c r="A60" s="3"/>
    </row>
    <row r="61" spans="1:1" s="8" customFormat="1" x14ac:dyDescent="0.2">
      <c r="A61" s="3"/>
    </row>
    <row r="62" spans="1:1" s="8" customFormat="1" x14ac:dyDescent="0.2">
      <c r="A62" s="3"/>
    </row>
    <row r="63" spans="1:1" s="8" customFormat="1" x14ac:dyDescent="0.2">
      <c r="A63" s="3"/>
    </row>
    <row r="64" spans="1:1" s="8" customFormat="1" x14ac:dyDescent="0.2">
      <c r="A64" s="3"/>
    </row>
    <row r="65" spans="1:1" s="8" customFormat="1" x14ac:dyDescent="0.2">
      <c r="A65" s="3"/>
    </row>
    <row r="66" spans="1:1" s="8" customFormat="1" x14ac:dyDescent="0.2">
      <c r="A66" s="3"/>
    </row>
    <row r="67" spans="1:1" s="8" customFormat="1" x14ac:dyDescent="0.2">
      <c r="A67" s="3"/>
    </row>
    <row r="68" spans="1:1" s="8" customFormat="1" x14ac:dyDescent="0.2">
      <c r="A68" s="3"/>
    </row>
    <row r="69" spans="1:1" s="8" customFormat="1" x14ac:dyDescent="0.2">
      <c r="A69" s="3"/>
    </row>
    <row r="70" spans="1:1" s="8" customFormat="1" x14ac:dyDescent="0.2">
      <c r="A70" s="3"/>
    </row>
    <row r="71" spans="1:1" s="8" customFormat="1" x14ac:dyDescent="0.2">
      <c r="A71" s="3"/>
    </row>
    <row r="72" spans="1:1" s="8" customFormat="1" x14ac:dyDescent="0.2">
      <c r="A72" s="3"/>
    </row>
    <row r="73" spans="1:1" s="8" customFormat="1" x14ac:dyDescent="0.2">
      <c r="A73" s="3"/>
    </row>
    <row r="74" spans="1:1" s="8" customFormat="1" x14ac:dyDescent="0.2">
      <c r="A74" s="3"/>
    </row>
    <row r="75" spans="1:1" s="8" customFormat="1" x14ac:dyDescent="0.2">
      <c r="A75" s="3"/>
    </row>
    <row r="76" spans="1:1" s="8" customFormat="1" x14ac:dyDescent="0.2">
      <c r="A76" s="3"/>
    </row>
    <row r="77" spans="1:1" s="8" customFormat="1" x14ac:dyDescent="0.2">
      <c r="A77" s="3"/>
    </row>
    <row r="78" spans="1:1" s="8" customFormat="1" x14ac:dyDescent="0.2">
      <c r="A78" s="3"/>
    </row>
    <row r="79" spans="1:1" s="8" customFormat="1" x14ac:dyDescent="0.2">
      <c r="A79" s="3"/>
    </row>
    <row r="80" spans="1:1" s="8" customFormat="1" x14ac:dyDescent="0.2">
      <c r="A80" s="3"/>
    </row>
    <row r="81" spans="1:1" s="8" customFormat="1" x14ac:dyDescent="0.2">
      <c r="A81" s="3"/>
    </row>
    <row r="82" spans="1:1" s="8" customFormat="1" x14ac:dyDescent="0.2">
      <c r="A82" s="3"/>
    </row>
    <row r="83" spans="1:1" s="8" customFormat="1" x14ac:dyDescent="0.2">
      <c r="A83" s="3"/>
    </row>
    <row r="84" spans="1:1" s="8" customFormat="1" x14ac:dyDescent="0.2">
      <c r="A84" s="3"/>
    </row>
    <row r="85" spans="1:1" s="8" customFormat="1" x14ac:dyDescent="0.2">
      <c r="A85" s="3"/>
    </row>
    <row r="86" spans="1:1" s="8" customFormat="1" x14ac:dyDescent="0.2">
      <c r="A86" s="3"/>
    </row>
    <row r="87" spans="1:1" s="8" customFormat="1" x14ac:dyDescent="0.2">
      <c r="A87" s="3"/>
    </row>
    <row r="88" spans="1:1" s="8" customFormat="1" x14ac:dyDescent="0.2">
      <c r="A88" s="3"/>
    </row>
    <row r="89" spans="1:1" s="8" customFormat="1" x14ac:dyDescent="0.2">
      <c r="A89" s="3"/>
    </row>
    <row r="90" spans="1:1" s="8" customFormat="1" x14ac:dyDescent="0.2">
      <c r="A90" s="3"/>
    </row>
    <row r="91" spans="1:1" s="8" customFormat="1" x14ac:dyDescent="0.2">
      <c r="A91" s="3"/>
    </row>
    <row r="92" spans="1:1" s="8" customFormat="1" x14ac:dyDescent="0.2">
      <c r="A92" s="3"/>
    </row>
    <row r="93" spans="1:1" s="8" customFormat="1" x14ac:dyDescent="0.2">
      <c r="A93" s="3"/>
    </row>
    <row r="94" spans="1:1" s="8" customFormat="1" x14ac:dyDescent="0.2">
      <c r="A94" s="3"/>
    </row>
    <row r="95" spans="1:1" s="8" customFormat="1" x14ac:dyDescent="0.2">
      <c r="A95" s="3"/>
    </row>
    <row r="96" spans="1:1" s="8" customFormat="1" x14ac:dyDescent="0.2">
      <c r="A96" s="3"/>
    </row>
    <row r="97" spans="1:1" s="8" customFormat="1" x14ac:dyDescent="0.2">
      <c r="A97" s="3"/>
    </row>
    <row r="98" spans="1:1" s="8" customFormat="1" x14ac:dyDescent="0.2">
      <c r="A98" s="3"/>
    </row>
    <row r="99" spans="1:1" s="8" customFormat="1" x14ac:dyDescent="0.2">
      <c r="A99" s="3"/>
    </row>
    <row r="100" spans="1:1" s="8" customFormat="1" x14ac:dyDescent="0.2">
      <c r="A100" s="3"/>
    </row>
    <row r="101" spans="1:1" s="8" customFormat="1" x14ac:dyDescent="0.2">
      <c r="A101" s="3"/>
    </row>
    <row r="102" spans="1:1" s="8" customFormat="1" x14ac:dyDescent="0.2">
      <c r="A102" s="3"/>
    </row>
    <row r="103" spans="1:1" s="8" customFormat="1" x14ac:dyDescent="0.2">
      <c r="A103" s="3"/>
    </row>
    <row r="104" spans="1:1" s="8" customFormat="1" x14ac:dyDescent="0.2">
      <c r="A104" s="3"/>
    </row>
    <row r="105" spans="1:1" s="8" customFormat="1" x14ac:dyDescent="0.2">
      <c r="A105" s="3"/>
    </row>
    <row r="106" spans="1:1" s="8" customFormat="1" x14ac:dyDescent="0.2">
      <c r="A106" s="3"/>
    </row>
    <row r="107" spans="1:1" s="8" customFormat="1" x14ac:dyDescent="0.2">
      <c r="A107" s="3"/>
    </row>
    <row r="108" spans="1:1" s="8" customFormat="1" x14ac:dyDescent="0.2">
      <c r="A108" s="3"/>
    </row>
  </sheetData>
  <mergeCells count="3">
    <mergeCell ref="E3:H3"/>
    <mergeCell ref="L3:O3"/>
    <mergeCell ref="S3:V3"/>
  </mergeCells>
  <pageMargins left="0.25" right="0.25" top="0.75" bottom="0.75" header="0.3" footer="0.3"/>
  <pageSetup scale="38"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1B65A9"/>
    <pageSetUpPr fitToPage="1"/>
  </sheetPr>
  <dimension ref="A1:X115"/>
  <sheetViews>
    <sheetView zoomScale="65" zoomScaleNormal="65" zoomScaleSheetLayoutView="65" workbookViewId="0">
      <pane xSplit="1" ySplit="4" topLeftCell="B5" activePane="bottomRight" state="frozen"/>
      <selection activeCell="B2" sqref="B2"/>
      <selection pane="topRight" activeCell="B2" sqref="B2"/>
      <selection pane="bottomLeft" activeCell="B2" sqref="B2"/>
      <selection pane="bottomRight" activeCell="S18" sqref="S18"/>
    </sheetView>
  </sheetViews>
  <sheetFormatPr defaultColWidth="9.140625" defaultRowHeight="11.25" outlineLevelCol="2" x14ac:dyDescent="0.2"/>
  <cols>
    <col min="1" max="1" width="55.42578125" style="4" bestFit="1" customWidth="1"/>
    <col min="2" max="2" width="20.7109375" style="4" customWidth="1" outlineLevel="1"/>
    <col min="3" max="3" width="20.7109375" style="8" customWidth="1" outlineLevel="1"/>
    <col min="4" max="4" width="1.28515625" style="8" hidden="1" customWidth="1" outlineLevel="2"/>
    <col min="5" max="8" width="20.7109375" style="8" hidden="1" customWidth="1" outlineLevel="2"/>
    <col min="9" max="9" width="0.7109375" style="8" hidden="1" customWidth="1" outlineLevel="2"/>
    <col min="10" max="10" width="20.7109375" style="8" customWidth="1" outlineLevel="1" collapsed="1"/>
    <col min="11" max="11" width="1.28515625" style="8" customWidth="1"/>
    <col min="12" max="15" width="20.7109375" style="8" customWidth="1" outlineLevel="1"/>
    <col min="16" max="16" width="1.28515625" style="8" customWidth="1"/>
    <col min="17" max="17" width="20.7109375" style="8" customWidth="1"/>
    <col min="18" max="18" width="1.28515625" style="8" customWidth="1"/>
    <col min="19" max="22" width="20.7109375" style="8" customWidth="1"/>
    <col min="23" max="23" width="1.28515625" style="4" customWidth="1"/>
    <col min="24" max="24" width="20.7109375" style="8" customWidth="1"/>
    <col min="25" max="16384" width="9.140625" style="4"/>
  </cols>
  <sheetData>
    <row r="1" spans="1:24" s="3" customFormat="1" ht="18" x14ac:dyDescent="0.25">
      <c r="A1" s="198" t="s">
        <v>184</v>
      </c>
      <c r="C1" s="8"/>
      <c r="D1" s="8"/>
      <c r="E1" s="8"/>
      <c r="F1" s="8"/>
      <c r="G1" s="8"/>
      <c r="H1" s="8"/>
      <c r="I1" s="8"/>
      <c r="J1" s="8"/>
      <c r="K1" s="8"/>
      <c r="L1" s="8"/>
      <c r="M1" s="8"/>
      <c r="N1" s="8"/>
      <c r="O1" s="8"/>
      <c r="P1" s="8"/>
      <c r="Q1" s="8"/>
      <c r="R1" s="8"/>
      <c r="S1" s="8"/>
      <c r="T1" s="8"/>
      <c r="U1" s="8"/>
      <c r="V1" s="8"/>
      <c r="X1" s="8"/>
    </row>
    <row r="2" spans="1:24" s="3" customFormat="1" x14ac:dyDescent="0.2">
      <c r="A2" s="1"/>
      <c r="B2" s="1"/>
      <c r="C2" s="9"/>
      <c r="D2" s="9"/>
      <c r="E2" s="9"/>
      <c r="F2" s="9"/>
      <c r="G2" s="9"/>
      <c r="H2" s="9"/>
      <c r="I2" s="9"/>
      <c r="J2" s="9"/>
      <c r="K2" s="9"/>
      <c r="L2" s="9"/>
      <c r="M2" s="9"/>
      <c r="N2" s="9"/>
      <c r="O2" s="9"/>
      <c r="P2" s="9"/>
      <c r="Q2" s="9"/>
      <c r="R2" s="9"/>
      <c r="S2" s="9"/>
      <c r="T2" s="9"/>
      <c r="U2" s="9"/>
      <c r="V2" s="9"/>
      <c r="X2" s="9"/>
    </row>
    <row r="3" spans="1:24" s="24" customFormat="1" ht="30" customHeight="1" x14ac:dyDescent="0.25">
      <c r="A3" s="78"/>
      <c r="B3" s="196" t="s">
        <v>31</v>
      </c>
      <c r="C3" s="196" t="s">
        <v>31</v>
      </c>
      <c r="E3" s="354" t="s">
        <v>1</v>
      </c>
      <c r="F3" s="354"/>
      <c r="G3" s="354"/>
      <c r="H3" s="354"/>
      <c r="I3" s="80"/>
      <c r="J3" s="81" t="s">
        <v>31</v>
      </c>
      <c r="K3" s="82"/>
      <c r="L3" s="354" t="s">
        <v>1</v>
      </c>
      <c r="M3" s="354"/>
      <c r="N3" s="354"/>
      <c r="O3" s="354"/>
      <c r="P3" s="82"/>
      <c r="Q3" s="262" t="s">
        <v>31</v>
      </c>
      <c r="R3" s="110"/>
      <c r="S3" s="354" t="s">
        <v>1</v>
      </c>
      <c r="T3" s="354"/>
      <c r="U3" s="354"/>
      <c r="V3" s="354"/>
      <c r="X3" s="303" t="s">
        <v>31</v>
      </c>
    </row>
    <row r="4" spans="1:24" s="24" customFormat="1" ht="30" customHeight="1" x14ac:dyDescent="0.25">
      <c r="A4" s="83" t="s">
        <v>0</v>
      </c>
      <c r="B4" s="84" t="s">
        <v>155</v>
      </c>
      <c r="C4" s="84" t="s">
        <v>159</v>
      </c>
      <c r="E4" s="84" t="s">
        <v>156</v>
      </c>
      <c r="F4" s="84" t="s">
        <v>157</v>
      </c>
      <c r="G4" s="84" t="s">
        <v>158</v>
      </c>
      <c r="H4" s="84" t="s">
        <v>100</v>
      </c>
      <c r="I4" s="86"/>
      <c r="J4" s="84" t="s">
        <v>100</v>
      </c>
      <c r="K4" s="82"/>
      <c r="L4" s="84" t="s">
        <v>148</v>
      </c>
      <c r="M4" s="84" t="s">
        <v>149</v>
      </c>
      <c r="N4" s="84" t="s">
        <v>109</v>
      </c>
      <c r="O4" s="84" t="s">
        <v>314</v>
      </c>
      <c r="P4" s="82"/>
      <c r="Q4" s="84" t="s">
        <v>314</v>
      </c>
      <c r="R4" s="86"/>
      <c r="S4" s="84" t="s">
        <v>327</v>
      </c>
      <c r="T4" s="84" t="s">
        <v>330</v>
      </c>
      <c r="U4" s="84" t="s">
        <v>338</v>
      </c>
      <c r="V4" s="84" t="s">
        <v>346</v>
      </c>
      <c r="X4" s="84" t="s">
        <v>346</v>
      </c>
    </row>
    <row r="5" spans="1:24" s="52" customFormat="1" ht="16.5" x14ac:dyDescent="0.25">
      <c r="A5" s="119"/>
      <c r="B5" s="119"/>
      <c r="C5" s="47"/>
      <c r="D5" s="47"/>
      <c r="E5" s="47"/>
      <c r="F5" s="47"/>
      <c r="G5" s="47"/>
      <c r="H5" s="47"/>
      <c r="I5" s="47"/>
      <c r="J5" s="47"/>
      <c r="K5" s="47"/>
      <c r="L5" s="47"/>
      <c r="M5" s="47"/>
      <c r="N5" s="47"/>
      <c r="O5" s="47"/>
      <c r="P5" s="47"/>
      <c r="Q5" s="47"/>
      <c r="R5" s="47"/>
      <c r="S5" s="47"/>
      <c r="T5" s="47"/>
      <c r="U5" s="47"/>
      <c r="V5" s="47"/>
      <c r="X5" s="47"/>
    </row>
    <row r="6" spans="1:24" s="52" customFormat="1" ht="16.5" x14ac:dyDescent="0.25">
      <c r="A6" s="65" t="s">
        <v>34</v>
      </c>
      <c r="B6" s="88">
        <v>-12.429</v>
      </c>
      <c r="C6" s="88">
        <v>-5.4</v>
      </c>
      <c r="D6" s="120"/>
      <c r="E6" s="88">
        <v>-3.5</v>
      </c>
      <c r="F6" s="88">
        <v>3</v>
      </c>
      <c r="G6" s="88">
        <v>8.1</v>
      </c>
      <c r="H6" s="88">
        <v>14.3</v>
      </c>
      <c r="I6" s="120"/>
      <c r="J6" s="88">
        <v>21.1</v>
      </c>
      <c r="K6" s="120"/>
      <c r="L6" s="88">
        <v>2.1</v>
      </c>
      <c r="M6" s="88">
        <v>5.2539999999999996</v>
      </c>
      <c r="N6" s="88">
        <v>3.3580000000000001</v>
      </c>
      <c r="O6" s="88">
        <v>10.131</v>
      </c>
      <c r="P6" s="121"/>
      <c r="Q6" s="88">
        <v>20.852</v>
      </c>
      <c r="R6" s="105"/>
      <c r="S6" s="88">
        <v>5.8999999999999997E-2</v>
      </c>
      <c r="T6" s="88">
        <v>10.93</v>
      </c>
      <c r="U6" s="88">
        <v>10.859</v>
      </c>
      <c r="V6" s="88">
        <v>4.891</v>
      </c>
      <c r="X6" s="88">
        <f>+S6+T6+U6+V6</f>
        <v>26.738999999999997</v>
      </c>
    </row>
    <row r="7" spans="1:24" s="52" customFormat="1" ht="16.5" x14ac:dyDescent="0.25">
      <c r="A7" s="65" t="s">
        <v>98</v>
      </c>
      <c r="B7" s="112">
        <v>-3.5000000000000003E-2</v>
      </c>
      <c r="C7" s="112">
        <v>-1.4E-2</v>
      </c>
      <c r="D7" s="123"/>
      <c r="E7" s="112">
        <v>-3.4000000000000002E-2</v>
      </c>
      <c r="F7" s="112">
        <v>2.8000000000000001E-2</v>
      </c>
      <c r="G7" s="112">
        <v>7.5999999999999998E-2</v>
      </c>
      <c r="H7" s="112">
        <v>0.12</v>
      </c>
      <c r="I7" s="123"/>
      <c r="J7" s="112">
        <v>4.9000000000000002E-2</v>
      </c>
      <c r="K7" s="123"/>
      <c r="L7" s="112">
        <v>0.02</v>
      </c>
      <c r="M7" s="112">
        <v>4.7E-2</v>
      </c>
      <c r="N7" s="112">
        <v>3.1E-2</v>
      </c>
      <c r="O7" s="112">
        <v>7.8E-2</v>
      </c>
      <c r="P7" s="123"/>
      <c r="Q7" s="112">
        <v>4.5999999999999999E-2</v>
      </c>
      <c r="R7" s="106"/>
      <c r="S7" s="112">
        <v>1E-3</v>
      </c>
      <c r="T7" s="112">
        <v>0.104</v>
      </c>
      <c r="U7" s="112">
        <v>9.6000000000000002E-2</v>
      </c>
      <c r="V7" s="112">
        <v>3.9E-2</v>
      </c>
      <c r="X7" s="112">
        <v>0.06</v>
      </c>
    </row>
    <row r="8" spans="1:24" s="52" customFormat="1" ht="16.5" x14ac:dyDescent="0.25">
      <c r="A8" s="65"/>
      <c r="B8" s="68"/>
      <c r="C8" s="68"/>
      <c r="D8" s="106"/>
      <c r="E8" s="68"/>
      <c r="F8" s="68"/>
      <c r="G8" s="68"/>
      <c r="H8" s="68"/>
      <c r="I8" s="106"/>
      <c r="J8" s="68"/>
      <c r="K8" s="106"/>
      <c r="L8" s="68"/>
      <c r="M8" s="68"/>
      <c r="N8" s="68"/>
      <c r="O8" s="68"/>
      <c r="P8" s="106"/>
      <c r="Q8" s="68"/>
      <c r="R8" s="106"/>
      <c r="S8" s="68"/>
      <c r="T8" s="68"/>
      <c r="U8" s="68"/>
      <c r="V8" s="68"/>
      <c r="X8" s="68"/>
    </row>
    <row r="9" spans="1:24" s="52" customFormat="1" ht="16.5" x14ac:dyDescent="0.25">
      <c r="A9" s="58" t="s">
        <v>42</v>
      </c>
      <c r="B9" s="61">
        <v>0.32400000000000001</v>
      </c>
      <c r="C9" s="61">
        <f>+'Consolidated Revenue'!C12</f>
        <v>0.4</v>
      </c>
      <c r="D9" s="106"/>
      <c r="E9" s="61">
        <f>+'Consolidated Revenue'!E12</f>
        <v>0.1</v>
      </c>
      <c r="F9" s="61">
        <f>+'Consolidated Revenue'!F12</f>
        <v>0</v>
      </c>
      <c r="G9" s="61">
        <f>+'Consolidated Revenue'!G12</f>
        <v>0</v>
      </c>
      <c r="H9" s="61">
        <f>+'Consolidated Revenue'!H12</f>
        <v>0.2</v>
      </c>
      <c r="I9" s="61"/>
      <c r="J9" s="61">
        <f>+'Consolidated Revenue'!J12</f>
        <v>0.4</v>
      </c>
      <c r="K9" s="61"/>
      <c r="L9" s="61">
        <f>+'Consolidated Revenue'!L12</f>
        <v>0.1</v>
      </c>
      <c r="M9" s="61">
        <f>+'Consolidated Revenue'!M12</f>
        <v>0</v>
      </c>
      <c r="N9" s="61">
        <v>0</v>
      </c>
      <c r="O9" s="61">
        <v>5.5570000000000004</v>
      </c>
      <c r="P9" s="111"/>
      <c r="Q9" s="61">
        <v>5.7080000000000002</v>
      </c>
      <c r="R9" s="106"/>
      <c r="S9" s="61">
        <f>'CIS Revenue Metrics'!S12</f>
        <v>1.0919999999999987</v>
      </c>
      <c r="T9" s="61">
        <f>'CIS Revenue Metrics'!T12</f>
        <v>1.2379999999999995</v>
      </c>
      <c r="U9" s="61">
        <f>'CIS Revenue Metrics'!U12</f>
        <v>0.69199999999999307</v>
      </c>
      <c r="V9" s="61">
        <f>'CIS Revenue Metrics'!V12</f>
        <v>0.54699999999999704</v>
      </c>
      <c r="X9" s="61">
        <f t="shared" ref="X9:X17" si="0">+S9+T9+U9+V9</f>
        <v>3.5689999999999884</v>
      </c>
    </row>
    <row r="10" spans="1:24" s="52" customFormat="1" ht="16.5" x14ac:dyDescent="0.25">
      <c r="A10" s="58" t="s">
        <v>27</v>
      </c>
      <c r="B10" s="61">
        <f>+'CIS Gross Profit'!B10</f>
        <v>16.206</v>
      </c>
      <c r="C10" s="61">
        <f>+'CIS Gross Profit'!C10</f>
        <v>16.006</v>
      </c>
      <c r="D10" s="106"/>
      <c r="E10" s="61">
        <f>+'CIS Gross Profit'!E10</f>
        <v>3.161</v>
      </c>
      <c r="F10" s="61">
        <f>+'CIS Gross Profit'!F10</f>
        <v>1.4159999999999999</v>
      </c>
      <c r="G10" s="61">
        <f>+'CIS Gross Profit'!G10</f>
        <v>1.4</v>
      </c>
      <c r="H10" s="61">
        <f>+'CIS Gross Profit'!H10</f>
        <v>1.4810000000000001</v>
      </c>
      <c r="I10" s="61"/>
      <c r="J10" s="61">
        <f>+'CIS Gross Profit'!J10</f>
        <v>7.4180000000000001</v>
      </c>
      <c r="K10" s="61"/>
      <c r="L10" s="61">
        <f>+'CIS Gross Profit'!L10</f>
        <v>1.319</v>
      </c>
      <c r="M10" s="61">
        <f>+'CIS Gross Profit'!M10</f>
        <v>0.36299999999999999</v>
      </c>
      <c r="N10" s="61">
        <v>0.36299999999999999</v>
      </c>
      <c r="O10" s="61">
        <v>0.36099999999999999</v>
      </c>
      <c r="P10" s="111"/>
      <c r="Q10" s="61">
        <v>2.4060000000000001</v>
      </c>
      <c r="R10" s="106"/>
      <c r="S10" s="61">
        <f>'CIS Gross Profit'!S10</f>
        <v>0.253</v>
      </c>
      <c r="T10" s="61">
        <f>'CIS Gross Profit'!T10</f>
        <v>0.23899999999999999</v>
      </c>
      <c r="U10" s="61">
        <f>'CIS Gross Profit'!U10</f>
        <v>0.22500000000000001</v>
      </c>
      <c r="V10" s="61">
        <f>'CIS Gross Profit'!V10</f>
        <v>0.22500000000000001</v>
      </c>
      <c r="X10" s="61">
        <f t="shared" si="0"/>
        <v>0.94199999999999995</v>
      </c>
    </row>
    <row r="11" spans="1:24" s="52" customFormat="1" ht="16.5" x14ac:dyDescent="0.25">
      <c r="A11" s="58" t="s">
        <v>10</v>
      </c>
      <c r="B11" s="61">
        <v>1.5509999999999999</v>
      </c>
      <c r="C11" s="61">
        <v>0.9</v>
      </c>
      <c r="D11" s="106"/>
      <c r="E11" s="61">
        <v>0.2</v>
      </c>
      <c r="F11" s="61">
        <v>0.1</v>
      </c>
      <c r="G11" s="61">
        <v>0.1</v>
      </c>
      <c r="H11" s="61">
        <v>0.2</v>
      </c>
      <c r="I11" s="61"/>
      <c r="J11" s="61">
        <v>0.7</v>
      </c>
      <c r="K11" s="61"/>
      <c r="L11" s="61">
        <v>0.1</v>
      </c>
      <c r="M11" s="61">
        <v>0.1</v>
      </c>
      <c r="N11" s="61">
        <v>0.127</v>
      </c>
      <c r="O11" s="61">
        <v>0.21299999999999999</v>
      </c>
      <c r="P11" s="111"/>
      <c r="Q11" s="61">
        <v>0.59499999999999997</v>
      </c>
      <c r="R11" s="106"/>
      <c r="S11" s="61">
        <v>0.30099999999999999</v>
      </c>
      <c r="T11" s="61">
        <v>0.33900000000000002</v>
      </c>
      <c r="U11" s="61">
        <v>0.27300000000000002</v>
      </c>
      <c r="V11" s="61">
        <v>0.30599999999999999</v>
      </c>
      <c r="X11" s="61">
        <f t="shared" si="0"/>
        <v>1.2190000000000001</v>
      </c>
    </row>
    <row r="12" spans="1:24" s="52" customFormat="1" ht="16.5" x14ac:dyDescent="0.25">
      <c r="A12" s="58" t="s">
        <v>7</v>
      </c>
      <c r="B12" s="121">
        <f>+-('CIS Operating Expenses'!B13+'CIS Operating Expenses'!B29)+'CIS Gross Profit'!B19</f>
        <v>20.440999999999999</v>
      </c>
      <c r="C12" s="121">
        <f>+-('CIS Operating Expenses'!C13+'CIS Operating Expenses'!C29)+'CIS Gross Profit'!C19</f>
        <v>22.528000000000002</v>
      </c>
      <c r="D12" s="47"/>
      <c r="E12" s="121">
        <f>+-('CIS Operating Expenses'!E13+'CIS Operating Expenses'!E29)+'CIS Gross Profit'!E19-0.1</f>
        <v>5.4520000000000008</v>
      </c>
      <c r="F12" s="121">
        <v>5.7</v>
      </c>
      <c r="G12" s="121">
        <f>+-('CIS Operating Expenses'!G13+'CIS Operating Expenses'!G29)+'CIS Gross Profit'!G19</f>
        <v>5.4939999999999998</v>
      </c>
      <c r="H12" s="121">
        <f>+-('CIS Operating Expenses'!H13+'CIS Operating Expenses'!H29)+'CIS Gross Profit'!H19</f>
        <v>5.5740000000000007</v>
      </c>
      <c r="I12" s="47"/>
      <c r="J12" s="121">
        <f>+-('CIS Operating Expenses'!J13+'CIS Operating Expenses'!J29)+'CIS Gross Profit'!J19</f>
        <v>22.465999999999998</v>
      </c>
      <c r="K12" s="47"/>
      <c r="L12" s="121">
        <f>+-('CIS Operating Expenses'!L13+'CIS Operating Expenses'!L29)+'CIS Gross Profit'!L19</f>
        <v>5.7620000000000005</v>
      </c>
      <c r="M12" s="121">
        <f>+-('CIS Operating Expenses'!M13+'CIS Operating Expenses'!M29)+'CIS Gross Profit'!M19</f>
        <v>6.8790000000000004</v>
      </c>
      <c r="N12" s="121">
        <v>6.2469999999999999</v>
      </c>
      <c r="O12" s="121">
        <v>8.859</v>
      </c>
      <c r="P12" s="121"/>
      <c r="Q12" s="121">
        <v>27.797000000000001</v>
      </c>
      <c r="R12" s="47"/>
      <c r="S12" s="121">
        <v>4.7919999999999998</v>
      </c>
      <c r="T12" s="121">
        <v>5.81</v>
      </c>
      <c r="U12" s="121">
        <v>6.6440000000000001</v>
      </c>
      <c r="V12" s="121">
        <v>4.1669999999999998</v>
      </c>
      <c r="X12" s="121">
        <f t="shared" si="0"/>
        <v>21.413000000000004</v>
      </c>
    </row>
    <row r="13" spans="1:24" s="52" customFormat="1" ht="16.5" x14ac:dyDescent="0.25">
      <c r="A13" s="58" t="s">
        <v>96</v>
      </c>
      <c r="B13" s="121">
        <f>+-('CIS Operating Expenses'!B14+'CIS Operating Expenses'!B30)+'CIS Gross Profit'!B20</f>
        <v>4.2780000000000005</v>
      </c>
      <c r="C13" s="121">
        <f>+-('CIS Operating Expenses'!C14+'CIS Operating Expenses'!C30)+'CIS Gross Profit'!C20</f>
        <v>0.5</v>
      </c>
      <c r="D13" s="47"/>
      <c r="E13" s="121">
        <f>+-('CIS Operating Expenses'!E14+'CIS Operating Expenses'!E30)+'CIS Gross Profit'!E20</f>
        <v>0.8</v>
      </c>
      <c r="F13" s="121">
        <f>+-('CIS Operating Expenses'!F14+'CIS Operating Expenses'!F30)+'CIS Gross Profit'!F20</f>
        <v>0</v>
      </c>
      <c r="G13" s="121">
        <v>0.7</v>
      </c>
      <c r="H13" s="121">
        <f>+-('CIS Operating Expenses'!H14+'CIS Operating Expenses'!H30)+'CIS Gross Profit'!H20</f>
        <v>1.9720000000000002</v>
      </c>
      <c r="I13" s="47"/>
      <c r="J13" s="121">
        <f>+-('CIS Operating Expenses'!J14+'CIS Operating Expenses'!J30)+'CIS Gross Profit'!J20-0.05</f>
        <v>3.4130000000000003</v>
      </c>
      <c r="K13" s="47"/>
      <c r="L13" s="121">
        <f>+-('CIS Operating Expenses'!L14+'CIS Operating Expenses'!L30)+'CIS Gross Profit'!L20+0.1</f>
        <v>1.5000000000000002</v>
      </c>
      <c r="M13" s="121">
        <f>+-('CIS Operating Expenses'!M14+'CIS Operating Expenses'!M30)+'CIS Gross Profit'!M20</f>
        <v>0.89700000000000002</v>
      </c>
      <c r="N13" s="121">
        <v>0.76400000000000001</v>
      </c>
      <c r="O13" s="121">
        <v>0.82099999999999995</v>
      </c>
      <c r="P13" s="121"/>
      <c r="Q13" s="121">
        <v>3.806</v>
      </c>
      <c r="R13" s="47"/>
      <c r="S13" s="121">
        <v>-1.147</v>
      </c>
      <c r="T13" s="121">
        <v>0.90300000000000002</v>
      </c>
      <c r="U13" s="121">
        <v>-0.434</v>
      </c>
      <c r="V13" s="121">
        <v>1.409</v>
      </c>
      <c r="X13" s="121">
        <f t="shared" si="0"/>
        <v>0.73100000000000009</v>
      </c>
    </row>
    <row r="14" spans="1:24" s="52" customFormat="1" ht="16.5" x14ac:dyDescent="0.25">
      <c r="A14" s="58" t="s">
        <v>19</v>
      </c>
      <c r="B14" s="121">
        <f>+-('CIS Operating Expenses'!B15+'CIS Operating Expenses'!B31)+'CIS Gross Profit'!B21</f>
        <v>5.226</v>
      </c>
      <c r="C14" s="121">
        <f>+-('CIS Operating Expenses'!C15+'CIS Operating Expenses'!C31)+'CIS Gross Profit'!C21-0.2</f>
        <v>4.5</v>
      </c>
      <c r="D14" s="47"/>
      <c r="E14" s="121">
        <f>+-('CIS Operating Expenses'!E15+'CIS Operating Expenses'!E31)+'CIS Gross Profit'!E21+0.1</f>
        <v>0.4</v>
      </c>
      <c r="F14" s="121">
        <f>+-('CIS Operating Expenses'!F15+'CIS Operating Expenses'!F31)+'CIS Gross Profit'!F21</f>
        <v>0.4</v>
      </c>
      <c r="G14" s="121">
        <f>+-('CIS Operating Expenses'!G15+'CIS Operating Expenses'!G31)+'CIS Gross Profit'!G21</f>
        <v>0.34699999999999998</v>
      </c>
      <c r="H14" s="121">
        <f>+-('CIS Operating Expenses'!H15+'CIS Operating Expenses'!H31)+'CIS Gross Profit'!H21</f>
        <v>0.6</v>
      </c>
      <c r="I14" s="47"/>
      <c r="J14" s="121">
        <f>+-('CIS Operating Expenses'!J15+'CIS Operating Expenses'!J31)+'CIS Gross Profit'!J21-0.05</f>
        <v>1.6809999999999998</v>
      </c>
      <c r="K14" s="47"/>
      <c r="L14" s="121">
        <f>+-('CIS Operating Expenses'!L15+'CIS Operating Expenses'!L31)+'CIS Gross Profit'!L21</f>
        <v>0.5</v>
      </c>
      <c r="M14" s="121">
        <f>+-('CIS Operating Expenses'!M15+'CIS Operating Expenses'!M31)+'CIS Gross Profit'!M21+0.1</f>
        <v>0.66</v>
      </c>
      <c r="N14" s="121">
        <v>0.72199999999999998</v>
      </c>
      <c r="O14" s="121">
        <v>0.495</v>
      </c>
      <c r="P14" s="121"/>
      <c r="Q14" s="121">
        <v>2.286</v>
      </c>
      <c r="R14" s="47"/>
      <c r="S14" s="121">
        <v>1.8959999999999999</v>
      </c>
      <c r="T14" s="121">
        <v>0.314</v>
      </c>
      <c r="U14" s="121">
        <v>0.433</v>
      </c>
      <c r="V14" s="121">
        <v>1.601</v>
      </c>
      <c r="X14" s="121">
        <f t="shared" si="0"/>
        <v>4.2439999999999998</v>
      </c>
    </row>
    <row r="15" spans="1:24" s="52" customFormat="1" ht="16.5" x14ac:dyDescent="0.25">
      <c r="A15" s="58" t="s">
        <v>317</v>
      </c>
      <c r="B15" s="121">
        <f>-+'CIS Operating Expenses'!B32</f>
        <v>0.193</v>
      </c>
      <c r="C15" s="121">
        <f>-+'CIS Operating Expenses'!C32</f>
        <v>0.44400000000000001</v>
      </c>
      <c r="D15" s="47"/>
      <c r="E15" s="121">
        <f>-+'CIS Operating Expenses'!E32</f>
        <v>3.3000000000000002E-2</v>
      </c>
      <c r="F15" s="121">
        <f>-+'CIS Operating Expenses'!F32</f>
        <v>5.0999999999999997E-2</v>
      </c>
      <c r="G15" s="121">
        <f>-+'CIS Operating Expenses'!G32</f>
        <v>1.4E-2</v>
      </c>
      <c r="H15" s="121">
        <f>-+'CIS Operating Expenses'!H32</f>
        <v>8.0000000000000002E-3</v>
      </c>
      <c r="I15" s="47"/>
      <c r="J15" s="121">
        <f>-+'CIS Operating Expenses'!J32</f>
        <v>0.108</v>
      </c>
      <c r="K15" s="47"/>
      <c r="L15" s="121">
        <f>-+'CIS Operating Expenses'!L32</f>
        <v>1E-3</v>
      </c>
      <c r="M15" s="121">
        <f>-+'CIS Operating Expenses'!M32</f>
        <v>7.8E-2</v>
      </c>
      <c r="N15" s="121">
        <f>-+'CIS Operating Expenses'!N32</f>
        <v>0.51500000000000001</v>
      </c>
      <c r="O15" s="121">
        <f>-+'CIS Operating Expenses'!O32</f>
        <v>1.2470000000000001</v>
      </c>
      <c r="P15" s="121"/>
      <c r="Q15" s="121">
        <f>-+'CIS Operating Expenses'!Q32</f>
        <v>1.84</v>
      </c>
      <c r="R15" s="47"/>
      <c r="S15" s="121">
        <f>-+'CIS Operating Expenses'!S32</f>
        <v>2.69</v>
      </c>
      <c r="T15" s="121">
        <f>-+'CIS Operating Expenses'!T32</f>
        <v>2.1960000000000002</v>
      </c>
      <c r="U15" s="121">
        <f>-+'CIS Operating Expenses'!U32-'CIS Operating Expenses'!U16+'CIS Gross Profit'!U22</f>
        <v>4.7580000000000009</v>
      </c>
      <c r="V15" s="121">
        <f>-+'CIS Operating Expenses'!V32-'CIS Operating Expenses'!V16+'CIS Gross Profit'!V22</f>
        <v>6.8630000000000004</v>
      </c>
      <c r="X15" s="121">
        <f t="shared" si="0"/>
        <v>16.507000000000001</v>
      </c>
    </row>
    <row r="16" spans="1:24" s="52" customFormat="1" ht="16.5" x14ac:dyDescent="0.25">
      <c r="A16" s="58" t="s">
        <v>20</v>
      </c>
      <c r="B16" s="121">
        <f>-+'CIS Operating Expenses'!B33</f>
        <v>0</v>
      </c>
      <c r="C16" s="121">
        <f>-+'CIS Operating Expenses'!C33</f>
        <v>1.1000000000000001</v>
      </c>
      <c r="D16" s="47"/>
      <c r="E16" s="121">
        <v>0</v>
      </c>
      <c r="F16" s="121">
        <v>0</v>
      </c>
      <c r="G16" s="121">
        <v>0</v>
      </c>
      <c r="H16" s="121">
        <v>0</v>
      </c>
      <c r="I16" s="47"/>
      <c r="J16" s="121">
        <v>0</v>
      </c>
      <c r="K16" s="47"/>
      <c r="L16" s="121">
        <v>0</v>
      </c>
      <c r="M16" s="121">
        <v>0</v>
      </c>
      <c r="N16" s="121">
        <v>0</v>
      </c>
      <c r="O16" s="121">
        <v>0</v>
      </c>
      <c r="P16" s="121"/>
      <c r="Q16" s="121">
        <v>0</v>
      </c>
      <c r="R16" s="47"/>
      <c r="S16" s="121">
        <v>0</v>
      </c>
      <c r="T16" s="121">
        <v>0</v>
      </c>
      <c r="U16" s="121">
        <v>0.05</v>
      </c>
      <c r="V16" s="121">
        <v>0.124</v>
      </c>
      <c r="X16" s="121">
        <f t="shared" si="0"/>
        <v>0.17399999999999999</v>
      </c>
    </row>
    <row r="17" spans="1:24" s="52" customFormat="1" ht="16.5" x14ac:dyDescent="0.25">
      <c r="A17" s="58" t="s">
        <v>6</v>
      </c>
      <c r="B17" s="124">
        <f>-+'CIS Operating Expenses'!B34</f>
        <v>0.129</v>
      </c>
      <c r="C17" s="124">
        <f>-+'CIS Operating Expenses'!C34+0.1</f>
        <v>0.35599999999999998</v>
      </c>
      <c r="D17" s="47"/>
      <c r="E17" s="124">
        <f>-+'CIS Operating Expenses'!E34</f>
        <v>0.16700000000000001</v>
      </c>
      <c r="F17" s="124">
        <f>-+'CIS Operating Expenses'!F34</f>
        <v>0.14900000000000002</v>
      </c>
      <c r="G17" s="124">
        <f>-+'CIS Operating Expenses'!G34</f>
        <v>-0.52900000000000003</v>
      </c>
      <c r="H17" s="124">
        <f>-+'CIS Operating Expenses'!H34</f>
        <v>-0.13200000000000001</v>
      </c>
      <c r="I17" s="47"/>
      <c r="J17" s="124">
        <f>-+'CIS Operating Expenses'!J34</f>
        <v>-0.32800000000000001</v>
      </c>
      <c r="K17" s="47"/>
      <c r="L17" s="124">
        <f>-+'CIS Operating Expenses'!L34</f>
        <v>0.69899999999999995</v>
      </c>
      <c r="M17" s="124">
        <f>-+'CIS Operating Expenses'!M34</f>
        <v>1.917</v>
      </c>
      <c r="N17" s="124">
        <f>-+'CIS Operating Expenses'!N34</f>
        <v>0.122</v>
      </c>
      <c r="O17" s="124">
        <f>-+'CIS Operating Expenses'!O34</f>
        <v>0.77300000000000002</v>
      </c>
      <c r="P17" s="121"/>
      <c r="Q17" s="124">
        <f>-+'CIS Operating Expenses'!Q34</f>
        <v>3.528</v>
      </c>
      <c r="R17" s="47"/>
      <c r="S17" s="124">
        <f>-+'CIS Operating Expenses'!S34</f>
        <v>3.2000000000000001E-2</v>
      </c>
      <c r="T17" s="124">
        <f>-+'CIS Operating Expenses'!T34-+'CIS Operating Expenses'!T17</f>
        <v>-0.41899999999999998</v>
      </c>
      <c r="U17" s="124">
        <f>-+'CIS Operating Expenses'!U34-+'CIS Operating Expenses'!U17</f>
        <v>-2.4E-2</v>
      </c>
      <c r="V17" s="124">
        <f>-+'CIS Operating Expenses'!V34-+'CIS Operating Expenses'!V17</f>
        <v>0.154</v>
      </c>
      <c r="X17" s="124">
        <f t="shared" si="0"/>
        <v>-0.25700000000000001</v>
      </c>
    </row>
    <row r="18" spans="1:24" s="52" customFormat="1" ht="33" x14ac:dyDescent="0.25">
      <c r="A18" s="114" t="s">
        <v>231</v>
      </c>
      <c r="B18" s="68">
        <f>SUM(B9:B17)+B6</f>
        <v>35.91899999999999</v>
      </c>
      <c r="C18" s="68">
        <f>SUM(C9:C17)+C6</f>
        <v>41.33400000000001</v>
      </c>
      <c r="D18" s="47"/>
      <c r="E18" s="68">
        <f>SUM(E9:E17)+E6</f>
        <v>6.8130000000000006</v>
      </c>
      <c r="F18" s="68">
        <f>SUM(F9:F17)+F6</f>
        <v>10.816000000000001</v>
      </c>
      <c r="G18" s="68">
        <f>SUM(G9:G17)+G6</f>
        <v>15.625999999999999</v>
      </c>
      <c r="H18" s="68">
        <f>SUM(H9:H17)+H6</f>
        <v>24.203000000000003</v>
      </c>
      <c r="I18" s="47"/>
      <c r="J18" s="68">
        <f>SUM(J9:J17)+J6</f>
        <v>56.957999999999991</v>
      </c>
      <c r="K18" s="47"/>
      <c r="L18" s="68">
        <f>SUM(L9:L17)+L6</f>
        <v>12.081</v>
      </c>
      <c r="M18" s="68">
        <f>SUM(M9:M17)+M6</f>
        <v>16.148</v>
      </c>
      <c r="N18" s="68">
        <f>SUM(N9:N17)+N6</f>
        <v>12.218000000000002</v>
      </c>
      <c r="O18" s="68">
        <f>SUM(O9:O17)+O6</f>
        <v>28.457000000000001</v>
      </c>
      <c r="P18" s="106"/>
      <c r="Q18" s="68">
        <f>SUM(Q9:Q17)+Q6</f>
        <v>68.817999999999998</v>
      </c>
      <c r="R18" s="47"/>
      <c r="S18" s="68">
        <f>SUM(S9:S17)+S6</f>
        <v>9.9679999999999982</v>
      </c>
      <c r="T18" s="96">
        <f>SUM(T9:T17)+T6</f>
        <v>21.549999999999997</v>
      </c>
      <c r="U18" s="96">
        <f>SUM(U9:U17)+U6</f>
        <v>23.475999999999996</v>
      </c>
      <c r="V18" s="96">
        <f>SUM(V9:V17)+V6</f>
        <v>20.286999999999995</v>
      </c>
      <c r="X18" s="96">
        <f>SUM(X9:X17)+X6</f>
        <v>75.281000000000006</v>
      </c>
    </row>
    <row r="19" spans="1:24" s="52" customFormat="1" ht="16.5" x14ac:dyDescent="0.25">
      <c r="A19" s="58" t="s">
        <v>207</v>
      </c>
      <c r="B19" s="124">
        <v>9.5760000000000005</v>
      </c>
      <c r="C19" s="124">
        <v>10.5</v>
      </c>
      <c r="D19" s="47"/>
      <c r="E19" s="104">
        <v>2.8</v>
      </c>
      <c r="F19" s="104">
        <v>2.5</v>
      </c>
      <c r="G19" s="104">
        <v>2.4</v>
      </c>
      <c r="H19" s="104">
        <v>2.5</v>
      </c>
      <c r="I19" s="47"/>
      <c r="J19" s="104">
        <v>10.4</v>
      </c>
      <c r="K19" s="47"/>
      <c r="L19" s="104">
        <v>2.7</v>
      </c>
      <c r="M19" s="104">
        <v>2.8</v>
      </c>
      <c r="N19" s="104">
        <v>3.0190000000000001</v>
      </c>
      <c r="O19" s="104">
        <v>3.097</v>
      </c>
      <c r="P19" s="121"/>
      <c r="Q19" s="104">
        <v>11.602</v>
      </c>
      <c r="R19" s="47"/>
      <c r="S19" s="104">
        <v>3.653</v>
      </c>
      <c r="T19" s="104">
        <v>3.6789999999999998</v>
      </c>
      <c r="U19" s="104">
        <v>3.55</v>
      </c>
      <c r="V19" s="104">
        <v>3.5369999999999999</v>
      </c>
      <c r="X19" s="104">
        <f>+S19+T19+U19+V19</f>
        <v>14.419</v>
      </c>
    </row>
    <row r="20" spans="1:24" s="89" customFormat="1" ht="16.5" x14ac:dyDescent="0.25">
      <c r="A20" s="125" t="s">
        <v>37</v>
      </c>
      <c r="B20" s="126">
        <f>+B18+B19</f>
        <v>45.49499999999999</v>
      </c>
      <c r="C20" s="126">
        <f>+C18+C19</f>
        <v>51.83400000000001</v>
      </c>
      <c r="D20" s="90"/>
      <c r="E20" s="88">
        <f>+E18+E19</f>
        <v>9.6129999999999995</v>
      </c>
      <c r="F20" s="88">
        <f>+F18+F19</f>
        <v>13.316000000000001</v>
      </c>
      <c r="G20" s="88">
        <f>+G18+G19</f>
        <v>18.026</v>
      </c>
      <c r="H20" s="88">
        <f>+H18+H19</f>
        <v>26.703000000000003</v>
      </c>
      <c r="I20" s="90"/>
      <c r="J20" s="88">
        <f>+J18+J19</f>
        <v>67.35799999999999</v>
      </c>
      <c r="K20" s="90"/>
      <c r="L20" s="88">
        <f>+L18+L19</f>
        <v>14.780999999999999</v>
      </c>
      <c r="M20" s="88">
        <f>+M18+M19</f>
        <v>18.948</v>
      </c>
      <c r="N20" s="88">
        <f>+N18+N19</f>
        <v>15.237000000000002</v>
      </c>
      <c r="O20" s="88">
        <f>+O18+O19</f>
        <v>31.554000000000002</v>
      </c>
      <c r="P20" s="127"/>
      <c r="Q20" s="88">
        <f>+Q18+Q19</f>
        <v>80.42</v>
      </c>
      <c r="R20" s="90"/>
      <c r="S20" s="88">
        <f>+S18+S19</f>
        <v>13.620999999999999</v>
      </c>
      <c r="T20" s="88">
        <f>+T18+T19</f>
        <v>25.228999999999996</v>
      </c>
      <c r="U20" s="88">
        <f>+U18+U19</f>
        <v>27.025999999999996</v>
      </c>
      <c r="V20" s="88">
        <f>+V18+V19</f>
        <v>23.823999999999995</v>
      </c>
      <c r="X20" s="88">
        <f>+X18+X19</f>
        <v>89.7</v>
      </c>
    </row>
    <row r="21" spans="1:24" s="52" customFormat="1" ht="33" x14ac:dyDescent="0.25">
      <c r="A21" s="114" t="s">
        <v>232</v>
      </c>
      <c r="B21" s="128">
        <v>0.10100000000000001</v>
      </c>
      <c r="C21" s="128">
        <v>0.105</v>
      </c>
      <c r="D21" s="129"/>
      <c r="E21" s="130">
        <v>6.6147859922178975E-2</v>
      </c>
      <c r="F21" s="130">
        <v>0.1033696682464455</v>
      </c>
      <c r="G21" s="130">
        <v>0.14647887323943662</v>
      </c>
      <c r="H21" s="130">
        <v>0.20437342304457526</v>
      </c>
      <c r="I21" s="129"/>
      <c r="J21" s="130">
        <v>0.13139695712309821</v>
      </c>
      <c r="K21" s="129"/>
      <c r="L21" s="130">
        <v>0.11072668513388736</v>
      </c>
      <c r="M21" s="130">
        <v>0.14260407440212577</v>
      </c>
      <c r="N21" s="130">
        <v>0.114</v>
      </c>
      <c r="O21" s="130">
        <v>0.21099999999999999</v>
      </c>
      <c r="P21" s="131"/>
      <c r="Q21" s="130">
        <v>0.14899999999999999</v>
      </c>
      <c r="R21" s="47"/>
      <c r="S21" s="130">
        <v>9.7000000000000003E-2</v>
      </c>
      <c r="T21" s="130">
        <v>0.20300000000000001</v>
      </c>
      <c r="U21" s="130">
        <v>0.20699999999999999</v>
      </c>
      <c r="V21" s="130">
        <v>0.16300000000000001</v>
      </c>
      <c r="X21" s="130">
        <v>0.16800000000000001</v>
      </c>
    </row>
    <row r="22" spans="1:24" s="52" customFormat="1" ht="16.5" x14ac:dyDescent="0.25">
      <c r="A22" s="114" t="s">
        <v>97</v>
      </c>
      <c r="B22" s="128">
        <v>0.128</v>
      </c>
      <c r="C22" s="128">
        <v>0.13100000000000001</v>
      </c>
      <c r="D22" s="129"/>
      <c r="E22" s="130">
        <v>9.3385214007782089E-2</v>
      </c>
      <c r="F22" s="130">
        <v>0.12606635071090047</v>
      </c>
      <c r="G22" s="130">
        <v>0.16901408450704225</v>
      </c>
      <c r="H22" s="130">
        <v>0.22539949537426407</v>
      </c>
      <c r="I22" s="129"/>
      <c r="J22" s="130">
        <v>0.1553711387736284</v>
      </c>
      <c r="K22" s="129"/>
      <c r="L22" s="130">
        <v>0.13565743305632502</v>
      </c>
      <c r="M22" s="130">
        <v>0.16740478299379982</v>
      </c>
      <c r="N22" s="130">
        <v>0.14199999999999999</v>
      </c>
      <c r="O22" s="130">
        <v>0.23400000000000001</v>
      </c>
      <c r="P22" s="131"/>
      <c r="Q22" s="130">
        <v>0.17399999999999999</v>
      </c>
      <c r="R22" s="47"/>
      <c r="S22" s="130">
        <v>0.13300000000000001</v>
      </c>
      <c r="T22" s="130">
        <v>0.23699999999999999</v>
      </c>
      <c r="U22" s="130">
        <v>0.23799999999999999</v>
      </c>
      <c r="V22" s="130">
        <v>0.191</v>
      </c>
      <c r="X22" s="130">
        <v>0.20100000000000001</v>
      </c>
    </row>
    <row r="23" spans="1:24" s="52" customFormat="1" ht="16.5" x14ac:dyDescent="0.25">
      <c r="A23" s="114"/>
      <c r="B23" s="114"/>
      <c r="C23" s="68"/>
      <c r="D23" s="57"/>
      <c r="E23" s="68"/>
      <c r="F23" s="68"/>
      <c r="G23" s="68"/>
      <c r="H23" s="68"/>
      <c r="I23" s="57"/>
      <c r="J23" s="68"/>
      <c r="K23" s="57"/>
      <c r="L23" s="68"/>
      <c r="M23" s="68"/>
      <c r="N23" s="68"/>
      <c r="O23" s="68"/>
      <c r="P23" s="68"/>
      <c r="Q23" s="57"/>
      <c r="R23" s="47"/>
      <c r="S23" s="68"/>
      <c r="T23" s="68"/>
      <c r="U23" s="68"/>
      <c r="V23" s="68"/>
      <c r="X23" s="57"/>
    </row>
    <row r="24" spans="1:24" s="3" customFormat="1" x14ac:dyDescent="0.2">
      <c r="C24" s="8"/>
      <c r="D24" s="8"/>
      <c r="E24" s="8"/>
      <c r="F24" s="8" t="s">
        <v>11</v>
      </c>
      <c r="G24" s="8"/>
      <c r="H24" s="8"/>
      <c r="I24" s="8"/>
      <c r="J24" s="8"/>
      <c r="K24" s="8"/>
      <c r="L24" s="8"/>
      <c r="M24" s="8"/>
      <c r="N24" s="8"/>
      <c r="O24" s="8"/>
      <c r="P24" s="8"/>
      <c r="Q24" s="8"/>
      <c r="R24" s="8"/>
      <c r="S24" s="8"/>
      <c r="T24" s="8"/>
      <c r="U24" s="8"/>
      <c r="V24" s="8"/>
      <c r="X24" s="8"/>
    </row>
    <row r="25" spans="1:24" s="3" customFormat="1" x14ac:dyDescent="0.2">
      <c r="C25" s="8"/>
      <c r="D25" s="8"/>
      <c r="E25" s="8"/>
      <c r="F25" s="8"/>
      <c r="G25" s="8"/>
      <c r="H25" s="8"/>
      <c r="I25" s="8"/>
      <c r="J25" s="8"/>
      <c r="K25" s="8"/>
      <c r="L25" s="8"/>
      <c r="M25" s="8"/>
      <c r="N25" s="8"/>
      <c r="O25" s="8"/>
      <c r="P25" s="8"/>
      <c r="Q25" s="8"/>
      <c r="R25" s="8"/>
      <c r="S25" s="8"/>
      <c r="T25" s="8"/>
      <c r="U25" s="8"/>
      <c r="V25" s="8"/>
      <c r="X25" s="8"/>
    </row>
    <row r="26" spans="1:24" s="3" customFormat="1" x14ac:dyDescent="0.2">
      <c r="C26" s="8"/>
      <c r="D26" s="8"/>
      <c r="E26" s="8"/>
      <c r="F26" s="8"/>
      <c r="G26" s="8"/>
      <c r="H26" s="8"/>
      <c r="I26" s="8"/>
      <c r="J26" s="8"/>
      <c r="K26" s="8"/>
      <c r="L26" s="8"/>
      <c r="M26" s="8"/>
      <c r="N26" s="8"/>
      <c r="O26" s="8"/>
      <c r="P26" s="8"/>
      <c r="Q26" s="8"/>
      <c r="R26" s="8"/>
      <c r="S26" s="8"/>
      <c r="T26" s="8"/>
      <c r="U26" s="8"/>
      <c r="V26" s="8"/>
      <c r="X26" s="8"/>
    </row>
    <row r="27" spans="1:24" s="3" customFormat="1" x14ac:dyDescent="0.2">
      <c r="C27" s="8"/>
      <c r="D27" s="8"/>
      <c r="E27" s="8"/>
      <c r="F27" s="8"/>
      <c r="G27" s="8"/>
      <c r="H27" s="8"/>
      <c r="I27" s="8"/>
      <c r="J27" s="8"/>
      <c r="K27" s="8"/>
      <c r="L27" s="8"/>
      <c r="M27" s="8"/>
      <c r="N27" s="8"/>
      <c r="O27" s="8"/>
      <c r="P27" s="8"/>
      <c r="Q27" s="8"/>
      <c r="R27" s="8"/>
      <c r="S27" s="8"/>
      <c r="T27" s="8"/>
      <c r="U27" s="8"/>
      <c r="V27" s="8"/>
      <c r="X27" s="8"/>
    </row>
    <row r="28" spans="1:24" s="3" customFormat="1" x14ac:dyDescent="0.2">
      <c r="C28" s="8"/>
      <c r="D28" s="8"/>
      <c r="E28" s="8"/>
      <c r="F28" s="8" t="s">
        <v>11</v>
      </c>
      <c r="G28" s="8"/>
      <c r="H28" s="8"/>
      <c r="I28" s="8"/>
      <c r="J28" s="8"/>
      <c r="K28" s="8"/>
      <c r="L28" s="8"/>
      <c r="M28" s="8"/>
      <c r="N28" s="8"/>
      <c r="O28" s="8"/>
      <c r="P28" s="8"/>
      <c r="Q28" s="8"/>
      <c r="R28" s="8"/>
      <c r="S28" s="8"/>
      <c r="T28" s="8"/>
      <c r="U28" s="8"/>
      <c r="V28" s="8"/>
      <c r="X28" s="8"/>
    </row>
    <row r="29" spans="1:24" s="3" customFormat="1" x14ac:dyDescent="0.2">
      <c r="C29" s="8"/>
      <c r="D29" s="8"/>
      <c r="E29" s="8"/>
      <c r="F29" s="8"/>
      <c r="G29" s="8"/>
      <c r="H29" s="8"/>
      <c r="I29" s="8"/>
      <c r="J29" s="8"/>
      <c r="K29" s="8"/>
      <c r="L29" s="8"/>
      <c r="M29" s="8"/>
      <c r="N29" s="8"/>
      <c r="O29" s="8"/>
      <c r="P29" s="8"/>
      <c r="Q29" s="8"/>
      <c r="R29" s="8"/>
      <c r="S29" s="8"/>
      <c r="T29" s="8"/>
      <c r="U29" s="8"/>
      <c r="V29" s="8"/>
      <c r="X29" s="8"/>
    </row>
    <row r="30" spans="1:24" s="3" customFormat="1" x14ac:dyDescent="0.2">
      <c r="C30" s="8"/>
      <c r="D30" s="8"/>
      <c r="E30" s="8"/>
      <c r="F30" s="8"/>
      <c r="G30" s="8"/>
      <c r="H30" s="8"/>
      <c r="I30" s="8"/>
      <c r="J30" s="8"/>
      <c r="K30" s="8"/>
      <c r="L30" s="8"/>
      <c r="M30" s="8"/>
      <c r="N30" s="8"/>
      <c r="O30" s="8"/>
      <c r="P30" s="8"/>
      <c r="Q30" s="8"/>
      <c r="R30" s="8"/>
      <c r="S30" s="8"/>
      <c r="T30" s="8"/>
      <c r="U30" s="8"/>
      <c r="V30" s="8"/>
      <c r="X30" s="8"/>
    </row>
    <row r="31" spans="1:24" s="3" customFormat="1" x14ac:dyDescent="0.2">
      <c r="C31" s="8"/>
      <c r="D31" s="8"/>
      <c r="E31" s="8"/>
      <c r="F31" s="8"/>
      <c r="G31" s="8"/>
      <c r="H31" s="8"/>
      <c r="I31" s="8"/>
      <c r="J31" s="8"/>
      <c r="K31" s="8"/>
      <c r="L31" s="8"/>
      <c r="M31" s="8"/>
      <c r="N31" s="8"/>
      <c r="O31" s="8"/>
      <c r="P31" s="8"/>
      <c r="Q31" s="8"/>
      <c r="R31" s="8"/>
      <c r="S31" s="8"/>
      <c r="T31" s="8"/>
      <c r="U31" s="8"/>
      <c r="V31" s="8"/>
      <c r="X31" s="8"/>
    </row>
    <row r="32" spans="1:24" s="3" customFormat="1" x14ac:dyDescent="0.2">
      <c r="C32" s="8"/>
      <c r="D32" s="8"/>
      <c r="E32" s="8"/>
      <c r="F32" s="8"/>
      <c r="G32" s="8"/>
      <c r="H32" s="8"/>
      <c r="I32" s="8"/>
      <c r="J32" s="8"/>
      <c r="K32" s="8"/>
      <c r="L32" s="8"/>
      <c r="M32" s="8"/>
      <c r="N32" s="8"/>
      <c r="O32" s="8"/>
      <c r="P32" s="8"/>
      <c r="Q32" s="8"/>
      <c r="R32" s="8"/>
      <c r="S32" s="8"/>
      <c r="T32" s="8"/>
      <c r="U32" s="8"/>
      <c r="V32" s="8"/>
      <c r="X32" s="8"/>
    </row>
    <row r="33" spans="3:24" s="3" customFormat="1" x14ac:dyDescent="0.2">
      <c r="C33" s="8"/>
      <c r="D33" s="8"/>
      <c r="E33" s="8"/>
      <c r="F33" s="8"/>
      <c r="G33" s="8"/>
      <c r="H33" s="8"/>
      <c r="I33" s="8"/>
      <c r="J33" s="8"/>
      <c r="K33" s="8"/>
      <c r="L33" s="8"/>
      <c r="M33" s="8"/>
      <c r="N33" s="8"/>
      <c r="O33" s="8"/>
      <c r="P33" s="8"/>
      <c r="Q33" s="8"/>
      <c r="R33" s="8"/>
      <c r="S33" s="8"/>
      <c r="T33" s="8"/>
      <c r="U33" s="8"/>
      <c r="V33" s="8"/>
      <c r="X33" s="8"/>
    </row>
    <row r="34" spans="3:24" s="3" customFormat="1" x14ac:dyDescent="0.2">
      <c r="C34" s="8"/>
      <c r="D34" s="8"/>
      <c r="E34" s="8"/>
      <c r="F34" s="8"/>
      <c r="G34" s="8"/>
      <c r="H34" s="8"/>
      <c r="I34" s="8"/>
      <c r="J34" s="8"/>
      <c r="K34" s="8"/>
      <c r="L34" s="8"/>
      <c r="M34" s="8"/>
      <c r="N34" s="8"/>
      <c r="O34" s="8"/>
      <c r="P34" s="8"/>
      <c r="Q34" s="8"/>
      <c r="R34" s="8"/>
      <c r="S34" s="8"/>
      <c r="T34" s="8"/>
      <c r="U34" s="8"/>
      <c r="V34" s="8"/>
      <c r="X34" s="8"/>
    </row>
    <row r="35" spans="3:24" s="3" customFormat="1" x14ac:dyDescent="0.2">
      <c r="C35" s="8"/>
      <c r="D35" s="8"/>
      <c r="E35" s="8"/>
      <c r="F35" s="8"/>
      <c r="G35" s="8"/>
      <c r="H35" s="8"/>
      <c r="I35" s="8"/>
      <c r="J35" s="8"/>
      <c r="K35" s="8"/>
      <c r="L35" s="8"/>
      <c r="M35" s="8"/>
      <c r="N35" s="8"/>
      <c r="O35" s="8"/>
      <c r="P35" s="8"/>
      <c r="Q35" s="8"/>
      <c r="R35" s="8"/>
      <c r="S35" s="8"/>
      <c r="T35" s="8"/>
      <c r="U35" s="8"/>
      <c r="V35" s="8"/>
      <c r="X35" s="8"/>
    </row>
    <row r="36" spans="3:24" s="3" customFormat="1" x14ac:dyDescent="0.2">
      <c r="C36" s="8"/>
      <c r="D36" s="8"/>
      <c r="E36" s="8"/>
      <c r="F36" s="8"/>
      <c r="G36" s="8"/>
      <c r="H36" s="8"/>
      <c r="I36" s="8"/>
      <c r="J36" s="8"/>
      <c r="K36" s="8"/>
      <c r="L36" s="8"/>
      <c r="M36" s="8"/>
      <c r="N36" s="8"/>
      <c r="O36" s="8"/>
      <c r="P36" s="8"/>
      <c r="Q36" s="8"/>
      <c r="R36" s="8"/>
      <c r="S36" s="8"/>
      <c r="T36" s="8"/>
      <c r="U36" s="8"/>
      <c r="V36" s="8"/>
      <c r="X36" s="8"/>
    </row>
    <row r="37" spans="3:24" s="3" customFormat="1" x14ac:dyDescent="0.2">
      <c r="C37" s="8"/>
      <c r="D37" s="8"/>
      <c r="E37" s="8"/>
      <c r="F37" s="8"/>
      <c r="G37" s="8"/>
      <c r="H37" s="8"/>
      <c r="I37" s="8"/>
      <c r="J37" s="8"/>
      <c r="K37" s="8"/>
      <c r="L37" s="8"/>
      <c r="M37" s="8"/>
      <c r="N37" s="8"/>
      <c r="O37" s="8"/>
      <c r="P37" s="8"/>
      <c r="Q37" s="8"/>
      <c r="R37" s="8"/>
      <c r="S37" s="8"/>
      <c r="T37" s="8"/>
      <c r="U37" s="8"/>
      <c r="V37" s="8"/>
      <c r="X37" s="8"/>
    </row>
    <row r="38" spans="3:24" s="3" customFormat="1" x14ac:dyDescent="0.2">
      <c r="C38" s="8"/>
      <c r="D38" s="8"/>
      <c r="E38" s="8"/>
      <c r="F38" s="8"/>
      <c r="G38" s="8"/>
      <c r="H38" s="8"/>
      <c r="I38" s="8"/>
      <c r="J38" s="8"/>
      <c r="K38" s="8"/>
      <c r="L38" s="8"/>
      <c r="M38" s="8"/>
      <c r="N38" s="8"/>
      <c r="O38" s="8"/>
      <c r="P38" s="8"/>
      <c r="Q38" s="8"/>
      <c r="R38" s="8"/>
      <c r="S38" s="8"/>
      <c r="T38" s="8"/>
      <c r="U38" s="8"/>
      <c r="V38" s="8"/>
      <c r="X38" s="8"/>
    </row>
    <row r="39" spans="3:24" s="3" customFormat="1" x14ac:dyDescent="0.2">
      <c r="C39" s="8"/>
      <c r="D39" s="8"/>
      <c r="E39" s="8"/>
      <c r="F39" s="8"/>
      <c r="G39" s="8"/>
      <c r="H39" s="8"/>
      <c r="I39" s="8"/>
      <c r="J39" s="8"/>
      <c r="K39" s="8"/>
      <c r="L39" s="8"/>
      <c r="M39" s="8"/>
      <c r="N39" s="8"/>
      <c r="O39" s="8"/>
      <c r="P39" s="8"/>
      <c r="Q39" s="8"/>
      <c r="R39" s="8"/>
      <c r="S39" s="8"/>
      <c r="T39" s="8"/>
      <c r="U39" s="8"/>
      <c r="V39" s="8"/>
      <c r="X39" s="8"/>
    </row>
    <row r="40" spans="3:24" s="3" customFormat="1" x14ac:dyDescent="0.2">
      <c r="C40" s="8"/>
      <c r="D40" s="8"/>
      <c r="E40" s="8"/>
      <c r="F40" s="8"/>
      <c r="G40" s="8"/>
      <c r="H40" s="8"/>
      <c r="I40" s="8"/>
      <c r="J40" s="8"/>
      <c r="K40" s="8"/>
      <c r="L40" s="8"/>
      <c r="M40" s="8"/>
      <c r="N40" s="8"/>
      <c r="O40" s="8"/>
      <c r="P40" s="8"/>
      <c r="Q40" s="8"/>
      <c r="R40" s="8"/>
      <c r="S40" s="8"/>
      <c r="T40" s="8"/>
      <c r="U40" s="8"/>
      <c r="V40" s="8"/>
      <c r="X40" s="8"/>
    </row>
    <row r="41" spans="3:24" s="3" customFormat="1" x14ac:dyDescent="0.2">
      <c r="C41" s="8"/>
      <c r="D41" s="8"/>
      <c r="E41" s="8"/>
      <c r="F41" s="8"/>
      <c r="G41" s="8"/>
      <c r="H41" s="8"/>
      <c r="I41" s="8"/>
      <c r="J41" s="8"/>
      <c r="K41" s="8"/>
      <c r="L41" s="8"/>
      <c r="M41" s="8"/>
      <c r="N41" s="8"/>
      <c r="O41" s="8"/>
      <c r="P41" s="8"/>
      <c r="Q41" s="8"/>
      <c r="R41" s="8"/>
      <c r="S41" s="8"/>
      <c r="T41" s="8"/>
      <c r="U41" s="8"/>
      <c r="V41" s="8"/>
      <c r="X41" s="8"/>
    </row>
    <row r="42" spans="3:24" s="3" customFormat="1" x14ac:dyDescent="0.2">
      <c r="C42" s="8"/>
      <c r="D42" s="8"/>
      <c r="E42" s="8"/>
      <c r="F42" s="8"/>
      <c r="G42" s="8"/>
      <c r="H42" s="8"/>
      <c r="I42" s="8"/>
      <c r="J42" s="8"/>
      <c r="K42" s="8"/>
      <c r="L42" s="8"/>
      <c r="M42" s="8"/>
      <c r="N42" s="8"/>
      <c r="O42" s="8"/>
      <c r="P42" s="8"/>
      <c r="Q42" s="8"/>
      <c r="R42" s="8"/>
      <c r="S42" s="8"/>
      <c r="T42" s="8"/>
      <c r="U42" s="8"/>
      <c r="V42" s="8"/>
      <c r="X42" s="8"/>
    </row>
    <row r="43" spans="3:24" s="3" customFormat="1" x14ac:dyDescent="0.2">
      <c r="C43" s="8"/>
      <c r="D43" s="8"/>
      <c r="E43" s="8"/>
      <c r="F43" s="8"/>
      <c r="G43" s="8"/>
      <c r="H43" s="8"/>
      <c r="I43" s="8"/>
      <c r="J43" s="8"/>
      <c r="K43" s="8"/>
      <c r="L43" s="8"/>
      <c r="M43" s="8"/>
      <c r="N43" s="8"/>
      <c r="O43" s="8"/>
      <c r="P43" s="8"/>
      <c r="Q43" s="8"/>
      <c r="R43" s="8"/>
      <c r="S43" s="8"/>
      <c r="T43" s="8"/>
      <c r="U43" s="8"/>
      <c r="V43" s="8"/>
      <c r="X43" s="8"/>
    </row>
    <row r="44" spans="3:24" s="3" customFormat="1" x14ac:dyDescent="0.2">
      <c r="C44" s="8"/>
      <c r="D44" s="8"/>
      <c r="E44" s="8"/>
      <c r="F44" s="8"/>
      <c r="G44" s="8"/>
      <c r="H44" s="8"/>
      <c r="I44" s="8"/>
      <c r="J44" s="8"/>
      <c r="K44" s="8"/>
      <c r="L44" s="8"/>
      <c r="M44" s="8"/>
      <c r="N44" s="8"/>
      <c r="O44" s="8"/>
      <c r="P44" s="8"/>
      <c r="Q44" s="8"/>
      <c r="R44" s="8"/>
      <c r="S44" s="8"/>
      <c r="T44" s="8"/>
      <c r="U44" s="8"/>
      <c r="V44" s="8"/>
      <c r="X44" s="8"/>
    </row>
    <row r="45" spans="3:24" s="3" customFormat="1" x14ac:dyDescent="0.2">
      <c r="C45" s="8"/>
      <c r="D45" s="8"/>
      <c r="E45" s="8"/>
      <c r="F45" s="8"/>
      <c r="G45" s="8"/>
      <c r="H45" s="8"/>
      <c r="I45" s="8"/>
      <c r="J45" s="8"/>
      <c r="K45" s="8"/>
      <c r="L45" s="8"/>
      <c r="M45" s="8"/>
      <c r="N45" s="8"/>
      <c r="O45" s="8"/>
      <c r="P45" s="8"/>
      <c r="Q45" s="8"/>
      <c r="R45" s="8"/>
      <c r="S45" s="8"/>
      <c r="T45" s="8"/>
      <c r="U45" s="8"/>
      <c r="V45" s="8"/>
      <c r="X45" s="8"/>
    </row>
    <row r="46" spans="3:24" s="3" customFormat="1" x14ac:dyDescent="0.2">
      <c r="C46" s="8"/>
      <c r="D46" s="8"/>
      <c r="E46" s="8"/>
      <c r="F46" s="8"/>
      <c r="G46" s="8"/>
      <c r="H46" s="8"/>
      <c r="I46" s="8"/>
      <c r="J46" s="8"/>
      <c r="K46" s="8"/>
      <c r="L46" s="8"/>
      <c r="M46" s="8"/>
      <c r="N46" s="8"/>
      <c r="O46" s="8"/>
      <c r="P46" s="8"/>
      <c r="Q46" s="8"/>
      <c r="R46" s="8"/>
      <c r="S46" s="8"/>
      <c r="T46" s="8"/>
      <c r="U46" s="8"/>
      <c r="V46" s="8"/>
      <c r="X46" s="8"/>
    </row>
    <row r="47" spans="3:24" s="3" customFormat="1" x14ac:dyDescent="0.2">
      <c r="C47" s="8"/>
      <c r="D47" s="8"/>
      <c r="E47" s="8"/>
      <c r="F47" s="8"/>
      <c r="G47" s="8"/>
      <c r="H47" s="8"/>
      <c r="I47" s="8"/>
      <c r="J47" s="8"/>
      <c r="K47" s="8"/>
      <c r="L47" s="8"/>
      <c r="M47" s="8"/>
      <c r="N47" s="8"/>
      <c r="O47" s="8"/>
      <c r="P47" s="8"/>
      <c r="Q47" s="8"/>
      <c r="R47" s="8"/>
      <c r="S47" s="8"/>
      <c r="T47" s="8"/>
      <c r="U47" s="8"/>
      <c r="V47" s="8"/>
      <c r="X47" s="8"/>
    </row>
    <row r="48" spans="3:24" s="3" customFormat="1" x14ac:dyDescent="0.2">
      <c r="C48" s="8"/>
      <c r="D48" s="8"/>
      <c r="E48" s="8"/>
      <c r="F48" s="8"/>
      <c r="G48" s="8"/>
      <c r="H48" s="8"/>
      <c r="I48" s="8"/>
      <c r="J48" s="8"/>
      <c r="K48" s="8"/>
      <c r="L48" s="8"/>
      <c r="M48" s="8"/>
      <c r="N48" s="8"/>
      <c r="O48" s="8"/>
      <c r="P48" s="8"/>
      <c r="Q48" s="8"/>
      <c r="R48" s="8"/>
      <c r="S48" s="8"/>
      <c r="T48" s="8"/>
      <c r="U48" s="8"/>
      <c r="V48" s="8"/>
      <c r="X48" s="8"/>
    </row>
    <row r="49" spans="3:24" s="3" customFormat="1" x14ac:dyDescent="0.2">
      <c r="C49" s="8"/>
      <c r="D49" s="8"/>
      <c r="E49" s="8"/>
      <c r="F49" s="8"/>
      <c r="G49" s="8"/>
      <c r="H49" s="8"/>
      <c r="I49" s="8"/>
      <c r="J49" s="8"/>
      <c r="K49" s="8"/>
      <c r="L49" s="8"/>
      <c r="M49" s="8"/>
      <c r="N49" s="8"/>
      <c r="O49" s="8"/>
      <c r="P49" s="8"/>
      <c r="Q49" s="8"/>
      <c r="R49" s="8"/>
      <c r="S49" s="8"/>
      <c r="T49" s="8"/>
      <c r="U49" s="8"/>
      <c r="V49" s="8"/>
      <c r="X49" s="8"/>
    </row>
    <row r="50" spans="3:24" s="3" customFormat="1" x14ac:dyDescent="0.2">
      <c r="C50" s="8"/>
      <c r="D50" s="8"/>
      <c r="E50" s="8"/>
      <c r="F50" s="8"/>
      <c r="G50" s="8"/>
      <c r="H50" s="8"/>
      <c r="I50" s="8"/>
      <c r="J50" s="8"/>
      <c r="K50" s="8"/>
      <c r="L50" s="8"/>
      <c r="M50" s="8"/>
      <c r="N50" s="8"/>
      <c r="O50" s="8"/>
      <c r="P50" s="8"/>
      <c r="Q50" s="8"/>
      <c r="R50" s="8"/>
      <c r="S50" s="8"/>
      <c r="T50" s="8"/>
      <c r="U50" s="8"/>
      <c r="V50" s="8"/>
      <c r="X50" s="8"/>
    </row>
    <row r="51" spans="3:24" s="3" customFormat="1" x14ac:dyDescent="0.2">
      <c r="C51" s="8"/>
      <c r="D51" s="8"/>
      <c r="E51" s="8"/>
      <c r="F51" s="8"/>
      <c r="G51" s="8"/>
      <c r="H51" s="8"/>
      <c r="I51" s="8"/>
      <c r="J51" s="8"/>
      <c r="K51" s="8"/>
      <c r="L51" s="8"/>
      <c r="M51" s="8"/>
      <c r="N51" s="8"/>
      <c r="O51" s="8"/>
      <c r="P51" s="8"/>
      <c r="Q51" s="8"/>
      <c r="R51" s="8"/>
      <c r="S51" s="8"/>
      <c r="T51" s="8"/>
      <c r="U51" s="8"/>
      <c r="V51" s="8"/>
      <c r="X51" s="8"/>
    </row>
    <row r="52" spans="3:24" s="3" customFormat="1" x14ac:dyDescent="0.2">
      <c r="C52" s="8"/>
      <c r="D52" s="8"/>
      <c r="E52" s="8"/>
      <c r="F52" s="8"/>
      <c r="G52" s="8"/>
      <c r="H52" s="8"/>
      <c r="I52" s="8"/>
      <c r="J52" s="8"/>
      <c r="K52" s="8"/>
      <c r="L52" s="8"/>
      <c r="M52" s="8"/>
      <c r="N52" s="8"/>
      <c r="O52" s="8"/>
      <c r="P52" s="8"/>
      <c r="Q52" s="8"/>
      <c r="R52" s="8"/>
      <c r="S52" s="8"/>
      <c r="T52" s="8"/>
      <c r="U52" s="8"/>
      <c r="V52" s="8"/>
      <c r="X52" s="8"/>
    </row>
    <row r="53" spans="3:24" s="3" customFormat="1" x14ac:dyDescent="0.2">
      <c r="C53" s="8"/>
      <c r="D53" s="8"/>
      <c r="E53" s="8"/>
      <c r="F53" s="8"/>
      <c r="G53" s="8"/>
      <c r="H53" s="8"/>
      <c r="I53" s="8"/>
      <c r="J53" s="8"/>
      <c r="K53" s="8"/>
      <c r="L53" s="8"/>
      <c r="M53" s="8"/>
      <c r="N53" s="8"/>
      <c r="O53" s="8"/>
      <c r="P53" s="8"/>
      <c r="Q53" s="8"/>
      <c r="R53" s="8"/>
      <c r="S53" s="8"/>
      <c r="T53" s="8"/>
      <c r="U53" s="8"/>
      <c r="V53" s="8"/>
      <c r="X53" s="8"/>
    </row>
    <row r="54" spans="3:24" s="3" customFormat="1" x14ac:dyDescent="0.2">
      <c r="C54" s="8"/>
      <c r="D54" s="8"/>
      <c r="E54" s="8"/>
      <c r="F54" s="8"/>
      <c r="G54" s="8"/>
      <c r="H54" s="8"/>
      <c r="I54" s="8"/>
      <c r="J54" s="8"/>
      <c r="K54" s="8"/>
      <c r="L54" s="8"/>
      <c r="M54" s="8"/>
      <c r="N54" s="8"/>
      <c r="O54" s="8"/>
      <c r="P54" s="8"/>
      <c r="Q54" s="8"/>
      <c r="R54" s="8"/>
      <c r="S54" s="8"/>
      <c r="T54" s="8"/>
      <c r="U54" s="8"/>
      <c r="V54" s="8"/>
      <c r="X54" s="8"/>
    </row>
    <row r="55" spans="3:24" s="3" customFormat="1" x14ac:dyDescent="0.2">
      <c r="C55" s="8"/>
      <c r="D55" s="8"/>
      <c r="E55" s="8"/>
      <c r="F55" s="8"/>
      <c r="G55" s="8"/>
      <c r="H55" s="8"/>
      <c r="I55" s="8"/>
      <c r="J55" s="8"/>
      <c r="K55" s="8"/>
      <c r="L55" s="8"/>
      <c r="M55" s="8"/>
      <c r="N55" s="8"/>
      <c r="O55" s="8"/>
      <c r="P55" s="8"/>
      <c r="Q55" s="8"/>
      <c r="R55" s="8"/>
      <c r="S55" s="8"/>
      <c r="T55" s="8"/>
      <c r="U55" s="8"/>
      <c r="V55" s="8"/>
      <c r="X55" s="8"/>
    </row>
    <row r="56" spans="3:24" s="3" customFormat="1" x14ac:dyDescent="0.2">
      <c r="C56" s="8"/>
      <c r="D56" s="8"/>
      <c r="E56" s="8"/>
      <c r="F56" s="8"/>
      <c r="G56" s="8"/>
      <c r="H56" s="8"/>
      <c r="I56" s="8"/>
      <c r="J56" s="8"/>
      <c r="K56" s="8"/>
      <c r="L56" s="8"/>
      <c r="M56" s="8"/>
      <c r="N56" s="8"/>
      <c r="O56" s="8"/>
      <c r="P56" s="8"/>
      <c r="Q56" s="8"/>
      <c r="R56" s="8"/>
      <c r="S56" s="8"/>
      <c r="T56" s="8"/>
      <c r="U56" s="8"/>
      <c r="V56" s="8"/>
      <c r="X56" s="8"/>
    </row>
    <row r="57" spans="3:24" s="3" customFormat="1" x14ac:dyDescent="0.2">
      <c r="C57" s="8"/>
      <c r="D57" s="8"/>
      <c r="E57" s="8"/>
      <c r="F57" s="8"/>
      <c r="G57" s="8"/>
      <c r="H57" s="8"/>
      <c r="I57" s="8"/>
      <c r="J57" s="8"/>
      <c r="K57" s="8"/>
      <c r="L57" s="8"/>
      <c r="M57" s="8"/>
      <c r="N57" s="8"/>
      <c r="O57" s="8"/>
      <c r="P57" s="8"/>
      <c r="Q57" s="8"/>
      <c r="R57" s="8"/>
      <c r="S57" s="8"/>
      <c r="T57" s="8"/>
      <c r="U57" s="8"/>
      <c r="V57" s="8"/>
      <c r="X57" s="8"/>
    </row>
    <row r="58" spans="3:24" s="3" customFormat="1" x14ac:dyDescent="0.2">
      <c r="C58" s="8"/>
      <c r="D58" s="8"/>
      <c r="E58" s="8"/>
      <c r="F58" s="8"/>
      <c r="G58" s="8"/>
      <c r="H58" s="8"/>
      <c r="I58" s="8"/>
      <c r="J58" s="8"/>
      <c r="K58" s="8"/>
      <c r="L58" s="8"/>
      <c r="M58" s="8"/>
      <c r="N58" s="8"/>
      <c r="O58" s="8"/>
      <c r="P58" s="8"/>
      <c r="Q58" s="8"/>
      <c r="R58" s="8"/>
      <c r="S58" s="8"/>
      <c r="T58" s="8"/>
      <c r="U58" s="8"/>
      <c r="V58" s="8"/>
      <c r="X58" s="8"/>
    </row>
    <row r="59" spans="3:24" s="3" customFormat="1" x14ac:dyDescent="0.2">
      <c r="C59" s="8"/>
      <c r="D59" s="8"/>
      <c r="E59" s="8"/>
      <c r="F59" s="8"/>
      <c r="G59" s="8"/>
      <c r="H59" s="8"/>
      <c r="I59" s="8"/>
      <c r="J59" s="8"/>
      <c r="K59" s="8"/>
      <c r="L59" s="8"/>
      <c r="M59" s="8"/>
      <c r="N59" s="8"/>
      <c r="O59" s="8"/>
      <c r="P59" s="8"/>
      <c r="Q59" s="8"/>
      <c r="R59" s="8"/>
      <c r="S59" s="8"/>
      <c r="T59" s="8"/>
      <c r="U59" s="8"/>
      <c r="V59" s="8"/>
      <c r="X59" s="8"/>
    </row>
    <row r="60" spans="3:24" s="3" customFormat="1" x14ac:dyDescent="0.2">
      <c r="C60" s="8"/>
      <c r="D60" s="8"/>
      <c r="E60" s="8"/>
      <c r="F60" s="8"/>
      <c r="G60" s="8"/>
      <c r="H60" s="8"/>
      <c r="I60" s="8"/>
      <c r="J60" s="8"/>
      <c r="K60" s="8"/>
      <c r="L60" s="8"/>
      <c r="M60" s="8"/>
      <c r="N60" s="8"/>
      <c r="O60" s="8"/>
      <c r="P60" s="8"/>
      <c r="Q60" s="8"/>
      <c r="R60" s="8"/>
      <c r="S60" s="8"/>
      <c r="T60" s="8"/>
      <c r="U60" s="8"/>
      <c r="V60" s="8"/>
      <c r="X60" s="8"/>
    </row>
    <row r="61" spans="3:24" s="3" customFormat="1" x14ac:dyDescent="0.2">
      <c r="C61" s="8"/>
      <c r="D61" s="8"/>
      <c r="E61" s="8"/>
      <c r="F61" s="8"/>
      <c r="G61" s="8"/>
      <c r="H61" s="8"/>
      <c r="I61" s="8"/>
      <c r="J61" s="8"/>
      <c r="K61" s="8"/>
      <c r="L61" s="8"/>
      <c r="M61" s="8"/>
      <c r="N61" s="8"/>
      <c r="O61" s="8"/>
      <c r="P61" s="8"/>
      <c r="Q61" s="8"/>
      <c r="R61" s="8"/>
      <c r="S61" s="8"/>
      <c r="T61" s="8"/>
      <c r="U61" s="8"/>
      <c r="V61" s="8"/>
      <c r="X61" s="8"/>
    </row>
    <row r="62" spans="3:24" s="3" customFormat="1" x14ac:dyDescent="0.2">
      <c r="C62" s="8"/>
      <c r="D62" s="8"/>
      <c r="E62" s="8"/>
      <c r="F62" s="8"/>
      <c r="G62" s="8"/>
      <c r="H62" s="8"/>
      <c r="I62" s="8"/>
      <c r="J62" s="8"/>
      <c r="K62" s="8"/>
      <c r="L62" s="8"/>
      <c r="M62" s="8"/>
      <c r="N62" s="8"/>
      <c r="O62" s="8"/>
      <c r="P62" s="8"/>
      <c r="Q62" s="8"/>
      <c r="R62" s="8"/>
      <c r="S62" s="8"/>
      <c r="T62" s="8"/>
      <c r="U62" s="8"/>
      <c r="V62" s="8"/>
      <c r="X62" s="8"/>
    </row>
    <row r="63" spans="3:24" s="3" customFormat="1" x14ac:dyDescent="0.2">
      <c r="C63" s="8"/>
      <c r="D63" s="8"/>
      <c r="E63" s="8"/>
      <c r="F63" s="8"/>
      <c r="G63" s="8"/>
      <c r="H63" s="8"/>
      <c r="I63" s="8"/>
      <c r="J63" s="8"/>
      <c r="K63" s="8"/>
      <c r="L63" s="8"/>
      <c r="M63" s="8"/>
      <c r="N63" s="8"/>
      <c r="O63" s="8"/>
      <c r="P63" s="8"/>
      <c r="Q63" s="8"/>
      <c r="R63" s="8"/>
      <c r="S63" s="8"/>
      <c r="T63" s="8"/>
      <c r="U63" s="8"/>
      <c r="V63" s="8"/>
      <c r="X63" s="8"/>
    </row>
    <row r="64" spans="3:24" s="3" customFormat="1" x14ac:dyDescent="0.2">
      <c r="C64" s="8"/>
      <c r="D64" s="8"/>
      <c r="E64" s="8"/>
      <c r="F64" s="8"/>
      <c r="G64" s="8"/>
      <c r="H64" s="8"/>
      <c r="I64" s="8"/>
      <c r="J64" s="8"/>
      <c r="K64" s="8"/>
      <c r="L64" s="8"/>
      <c r="M64" s="8"/>
      <c r="N64" s="8"/>
      <c r="O64" s="8"/>
      <c r="P64" s="8"/>
      <c r="Q64" s="8"/>
      <c r="R64" s="8"/>
      <c r="S64" s="8"/>
      <c r="T64" s="8"/>
      <c r="U64" s="8"/>
      <c r="V64" s="8"/>
      <c r="X64" s="8"/>
    </row>
    <row r="65" spans="3:24" s="3" customFormat="1" x14ac:dyDescent="0.2">
      <c r="C65" s="8"/>
      <c r="D65" s="8"/>
      <c r="E65" s="8"/>
      <c r="F65" s="8"/>
      <c r="G65" s="8"/>
      <c r="H65" s="8"/>
      <c r="I65" s="8"/>
      <c r="J65" s="8"/>
      <c r="K65" s="8"/>
      <c r="L65" s="8"/>
      <c r="M65" s="8"/>
      <c r="N65" s="8"/>
      <c r="O65" s="8"/>
      <c r="P65" s="8"/>
      <c r="Q65" s="8"/>
      <c r="R65" s="8"/>
      <c r="S65" s="8"/>
      <c r="T65" s="8"/>
      <c r="U65" s="8"/>
      <c r="V65" s="8"/>
      <c r="X65" s="8"/>
    </row>
    <row r="66" spans="3:24" s="3" customFormat="1" x14ac:dyDescent="0.2">
      <c r="C66" s="8"/>
      <c r="D66" s="8"/>
      <c r="E66" s="8"/>
      <c r="F66" s="8"/>
      <c r="G66" s="8"/>
      <c r="H66" s="8"/>
      <c r="I66" s="8"/>
      <c r="J66" s="8"/>
      <c r="K66" s="8"/>
      <c r="L66" s="8"/>
      <c r="M66" s="8"/>
      <c r="N66" s="8"/>
      <c r="O66" s="8"/>
      <c r="P66" s="8"/>
      <c r="Q66" s="8"/>
      <c r="R66" s="8"/>
      <c r="S66" s="8"/>
      <c r="T66" s="8"/>
      <c r="U66" s="8"/>
      <c r="V66" s="8"/>
      <c r="X66" s="8"/>
    </row>
    <row r="67" spans="3:24" s="3" customFormat="1" x14ac:dyDescent="0.2">
      <c r="C67" s="8"/>
      <c r="D67" s="8"/>
      <c r="E67" s="8"/>
      <c r="F67" s="8"/>
      <c r="G67" s="8"/>
      <c r="H67" s="8"/>
      <c r="I67" s="8"/>
      <c r="J67" s="8"/>
      <c r="K67" s="8"/>
      <c r="L67" s="8"/>
      <c r="M67" s="8"/>
      <c r="N67" s="8"/>
      <c r="O67" s="8"/>
      <c r="P67" s="8"/>
      <c r="Q67" s="8"/>
      <c r="R67" s="8"/>
      <c r="S67" s="8"/>
      <c r="T67" s="8"/>
      <c r="U67" s="8"/>
      <c r="V67" s="8"/>
      <c r="X67" s="8"/>
    </row>
    <row r="68" spans="3:24" s="3" customFormat="1" x14ac:dyDescent="0.2">
      <c r="C68" s="8"/>
      <c r="D68" s="8"/>
      <c r="E68" s="8"/>
      <c r="F68" s="8"/>
      <c r="G68" s="8"/>
      <c r="H68" s="8"/>
      <c r="I68" s="8"/>
      <c r="J68" s="8"/>
      <c r="K68" s="8"/>
      <c r="L68" s="8"/>
      <c r="M68" s="8"/>
      <c r="N68" s="8"/>
      <c r="O68" s="8"/>
      <c r="P68" s="8"/>
      <c r="Q68" s="8"/>
      <c r="R68" s="8"/>
      <c r="S68" s="8"/>
      <c r="T68" s="8"/>
      <c r="U68" s="8"/>
      <c r="V68" s="8"/>
      <c r="X68" s="8"/>
    </row>
    <row r="69" spans="3:24" s="3" customFormat="1" x14ac:dyDescent="0.2">
      <c r="C69" s="8"/>
      <c r="D69" s="8"/>
      <c r="E69" s="8"/>
      <c r="F69" s="8"/>
      <c r="G69" s="8"/>
      <c r="H69" s="8"/>
      <c r="I69" s="8"/>
      <c r="J69" s="8"/>
      <c r="K69" s="8"/>
      <c r="L69" s="8"/>
      <c r="M69" s="8"/>
      <c r="N69" s="8"/>
      <c r="O69" s="8"/>
      <c r="P69" s="8"/>
      <c r="Q69" s="8"/>
      <c r="R69" s="8"/>
      <c r="S69" s="8"/>
      <c r="T69" s="8"/>
      <c r="U69" s="8"/>
      <c r="V69" s="8"/>
      <c r="X69" s="8"/>
    </row>
    <row r="70" spans="3:24" s="3" customFormat="1" x14ac:dyDescent="0.2">
      <c r="C70" s="8"/>
      <c r="D70" s="8"/>
      <c r="E70" s="8"/>
      <c r="F70" s="8"/>
      <c r="G70" s="8"/>
      <c r="H70" s="8"/>
      <c r="I70" s="8"/>
      <c r="J70" s="8"/>
      <c r="K70" s="8"/>
      <c r="L70" s="8"/>
      <c r="M70" s="8"/>
      <c r="N70" s="8"/>
      <c r="O70" s="8"/>
      <c r="P70" s="8"/>
      <c r="Q70" s="8"/>
      <c r="R70" s="8"/>
      <c r="S70" s="8"/>
      <c r="T70" s="8"/>
      <c r="U70" s="8"/>
      <c r="V70" s="8"/>
      <c r="X70" s="8"/>
    </row>
    <row r="71" spans="3:24" s="3" customFormat="1" x14ac:dyDescent="0.2">
      <c r="C71" s="8"/>
      <c r="D71" s="8"/>
      <c r="E71" s="8"/>
      <c r="F71" s="8"/>
      <c r="G71" s="8"/>
      <c r="H71" s="8"/>
      <c r="I71" s="8"/>
      <c r="J71" s="8"/>
      <c r="K71" s="8"/>
      <c r="L71" s="8"/>
      <c r="M71" s="8"/>
      <c r="N71" s="8"/>
      <c r="O71" s="8"/>
      <c r="P71" s="8"/>
      <c r="Q71" s="8"/>
      <c r="R71" s="8"/>
      <c r="S71" s="8"/>
      <c r="T71" s="8"/>
      <c r="U71" s="8"/>
      <c r="V71" s="8"/>
      <c r="X71" s="8"/>
    </row>
    <row r="72" spans="3:24" s="3" customFormat="1" x14ac:dyDescent="0.2">
      <c r="C72" s="8"/>
      <c r="D72" s="8"/>
      <c r="E72" s="8"/>
      <c r="F72" s="8"/>
      <c r="G72" s="8"/>
      <c r="H72" s="8"/>
      <c r="I72" s="8"/>
      <c r="J72" s="8"/>
      <c r="K72" s="8"/>
      <c r="L72" s="8"/>
      <c r="M72" s="8"/>
      <c r="N72" s="8"/>
      <c r="O72" s="8"/>
      <c r="P72" s="8"/>
      <c r="Q72" s="8"/>
      <c r="R72" s="8"/>
      <c r="S72" s="8"/>
      <c r="T72" s="8"/>
      <c r="U72" s="8"/>
      <c r="V72" s="8"/>
      <c r="X72" s="8"/>
    </row>
    <row r="73" spans="3:24" s="3" customFormat="1" x14ac:dyDescent="0.2">
      <c r="C73" s="8"/>
      <c r="D73" s="8"/>
      <c r="E73" s="8"/>
      <c r="F73" s="8"/>
      <c r="G73" s="8"/>
      <c r="H73" s="8"/>
      <c r="I73" s="8"/>
      <c r="J73" s="8"/>
      <c r="K73" s="8"/>
      <c r="L73" s="8"/>
      <c r="M73" s="8"/>
      <c r="N73" s="8"/>
      <c r="O73" s="8"/>
      <c r="P73" s="8"/>
      <c r="Q73" s="8"/>
      <c r="R73" s="8"/>
      <c r="S73" s="8"/>
      <c r="T73" s="8"/>
      <c r="U73" s="8"/>
      <c r="V73" s="8"/>
      <c r="X73" s="8"/>
    </row>
    <row r="74" spans="3:24" s="3" customFormat="1" x14ac:dyDescent="0.2">
      <c r="C74" s="8"/>
      <c r="D74" s="8"/>
      <c r="E74" s="8"/>
      <c r="F74" s="8"/>
      <c r="G74" s="8"/>
      <c r="H74" s="8"/>
      <c r="I74" s="8"/>
      <c r="J74" s="8"/>
      <c r="K74" s="8"/>
      <c r="L74" s="8"/>
      <c r="M74" s="8"/>
      <c r="N74" s="8"/>
      <c r="O74" s="8"/>
      <c r="P74" s="8"/>
      <c r="Q74" s="8"/>
      <c r="R74" s="8"/>
      <c r="S74" s="8"/>
      <c r="T74" s="8"/>
      <c r="U74" s="8"/>
      <c r="V74" s="8"/>
      <c r="X74" s="8"/>
    </row>
    <row r="75" spans="3:24" s="3" customFormat="1" x14ac:dyDescent="0.2">
      <c r="C75" s="8"/>
      <c r="D75" s="8"/>
      <c r="E75" s="8"/>
      <c r="F75" s="8"/>
      <c r="G75" s="8"/>
      <c r="H75" s="8"/>
      <c r="I75" s="8"/>
      <c r="J75" s="8"/>
      <c r="K75" s="8"/>
      <c r="L75" s="8"/>
      <c r="M75" s="8"/>
      <c r="N75" s="8"/>
      <c r="O75" s="8"/>
      <c r="P75" s="8"/>
      <c r="Q75" s="8"/>
      <c r="R75" s="8"/>
      <c r="S75" s="8"/>
      <c r="T75" s="8"/>
      <c r="U75" s="8"/>
      <c r="V75" s="8"/>
      <c r="X75" s="8"/>
    </row>
    <row r="76" spans="3:24" s="3" customFormat="1" x14ac:dyDescent="0.2">
      <c r="C76" s="8"/>
      <c r="D76" s="8"/>
      <c r="E76" s="8"/>
      <c r="F76" s="8"/>
      <c r="G76" s="8"/>
      <c r="H76" s="8"/>
      <c r="I76" s="8"/>
      <c r="J76" s="8"/>
      <c r="K76" s="8"/>
      <c r="L76" s="8"/>
      <c r="M76" s="8"/>
      <c r="N76" s="8"/>
      <c r="O76" s="8"/>
      <c r="P76" s="8"/>
      <c r="Q76" s="8"/>
      <c r="R76" s="8"/>
      <c r="S76" s="8"/>
      <c r="T76" s="8"/>
      <c r="U76" s="8"/>
      <c r="V76" s="8"/>
      <c r="X76" s="8"/>
    </row>
    <row r="77" spans="3:24" s="3" customFormat="1" x14ac:dyDescent="0.2">
      <c r="C77" s="8"/>
      <c r="D77" s="8"/>
      <c r="E77" s="8"/>
      <c r="F77" s="8"/>
      <c r="G77" s="8"/>
      <c r="H77" s="8"/>
      <c r="I77" s="8"/>
      <c r="J77" s="8"/>
      <c r="K77" s="8"/>
      <c r="L77" s="8"/>
      <c r="M77" s="8"/>
      <c r="N77" s="8"/>
      <c r="O77" s="8"/>
      <c r="P77" s="8"/>
      <c r="Q77" s="8"/>
      <c r="R77" s="8"/>
      <c r="S77" s="8"/>
      <c r="T77" s="8"/>
      <c r="U77" s="8"/>
      <c r="V77" s="8"/>
      <c r="X77" s="8"/>
    </row>
    <row r="78" spans="3:24" s="3" customFormat="1" x14ac:dyDescent="0.2">
      <c r="C78" s="8"/>
      <c r="D78" s="8"/>
      <c r="E78" s="8"/>
      <c r="F78" s="8"/>
      <c r="G78" s="8"/>
      <c r="H78" s="8"/>
      <c r="I78" s="8"/>
      <c r="J78" s="8"/>
      <c r="K78" s="8"/>
      <c r="L78" s="8"/>
      <c r="M78" s="8"/>
      <c r="N78" s="8"/>
      <c r="O78" s="8"/>
      <c r="P78" s="8"/>
      <c r="Q78" s="8"/>
      <c r="R78" s="8"/>
      <c r="S78" s="8"/>
      <c r="T78" s="8"/>
      <c r="U78" s="8"/>
      <c r="V78" s="8"/>
      <c r="X78" s="8"/>
    </row>
    <row r="79" spans="3:24" s="3" customFormat="1" x14ac:dyDescent="0.2">
      <c r="C79" s="8"/>
      <c r="D79" s="8"/>
      <c r="E79" s="8"/>
      <c r="F79" s="8"/>
      <c r="G79" s="8"/>
      <c r="H79" s="8"/>
      <c r="I79" s="8"/>
      <c r="J79" s="8"/>
      <c r="K79" s="8"/>
      <c r="L79" s="8"/>
      <c r="M79" s="8"/>
      <c r="N79" s="8"/>
      <c r="O79" s="8"/>
      <c r="P79" s="8"/>
      <c r="Q79" s="8"/>
      <c r="R79" s="8"/>
      <c r="S79" s="8"/>
      <c r="T79" s="8"/>
      <c r="U79" s="8"/>
      <c r="V79" s="8"/>
      <c r="X79" s="8"/>
    </row>
    <row r="80" spans="3:24" s="3" customFormat="1" x14ac:dyDescent="0.2">
      <c r="C80" s="8"/>
      <c r="D80" s="8"/>
      <c r="E80" s="8"/>
      <c r="F80" s="8"/>
      <c r="G80" s="8"/>
      <c r="H80" s="8"/>
      <c r="I80" s="8"/>
      <c r="J80" s="8"/>
      <c r="K80" s="8"/>
      <c r="L80" s="8"/>
      <c r="M80" s="8"/>
      <c r="N80" s="8"/>
      <c r="O80" s="8"/>
      <c r="P80" s="8"/>
      <c r="Q80" s="8"/>
      <c r="R80" s="8"/>
      <c r="S80" s="8"/>
      <c r="T80" s="8"/>
      <c r="U80" s="8"/>
      <c r="V80" s="8"/>
      <c r="X80" s="8"/>
    </row>
    <row r="81" spans="3:24" s="3" customFormat="1" x14ac:dyDescent="0.2">
      <c r="C81" s="8"/>
      <c r="D81" s="8"/>
      <c r="E81" s="8"/>
      <c r="F81" s="8"/>
      <c r="G81" s="8"/>
      <c r="H81" s="8"/>
      <c r="I81" s="8"/>
      <c r="J81" s="8"/>
      <c r="K81" s="8"/>
      <c r="L81" s="8"/>
      <c r="M81" s="8"/>
      <c r="N81" s="8"/>
      <c r="O81" s="8"/>
      <c r="P81" s="8"/>
      <c r="Q81" s="8"/>
      <c r="R81" s="8"/>
      <c r="S81" s="8"/>
      <c r="T81" s="8"/>
      <c r="U81" s="8"/>
      <c r="V81" s="8"/>
      <c r="X81" s="8"/>
    </row>
    <row r="82" spans="3:24" s="3" customFormat="1" x14ac:dyDescent="0.2">
      <c r="C82" s="8"/>
      <c r="D82" s="8"/>
      <c r="E82" s="8"/>
      <c r="F82" s="8"/>
      <c r="G82" s="8"/>
      <c r="H82" s="8"/>
      <c r="I82" s="8"/>
      <c r="J82" s="8"/>
      <c r="K82" s="8"/>
      <c r="L82" s="8"/>
      <c r="M82" s="8"/>
      <c r="N82" s="8"/>
      <c r="O82" s="8"/>
      <c r="P82" s="8"/>
      <c r="Q82" s="8"/>
      <c r="R82" s="8"/>
      <c r="S82" s="8"/>
      <c r="T82" s="8"/>
      <c r="U82" s="8"/>
      <c r="V82" s="8"/>
      <c r="X82" s="8"/>
    </row>
    <row r="83" spans="3:24" s="3" customFormat="1" x14ac:dyDescent="0.2">
      <c r="C83" s="8"/>
      <c r="D83" s="8"/>
      <c r="E83" s="8"/>
      <c r="F83" s="8"/>
      <c r="G83" s="8"/>
      <c r="H83" s="8"/>
      <c r="I83" s="8"/>
      <c r="J83" s="8"/>
      <c r="K83" s="8"/>
      <c r="L83" s="8"/>
      <c r="M83" s="8"/>
      <c r="N83" s="8"/>
      <c r="O83" s="8"/>
      <c r="P83" s="8"/>
      <c r="Q83" s="8"/>
      <c r="R83" s="8"/>
      <c r="S83" s="8"/>
      <c r="T83" s="8"/>
      <c r="U83" s="8"/>
      <c r="V83" s="8"/>
      <c r="X83" s="8"/>
    </row>
    <row r="84" spans="3:24" s="3" customFormat="1" x14ac:dyDescent="0.2">
      <c r="C84" s="8"/>
      <c r="D84" s="8"/>
      <c r="E84" s="8"/>
      <c r="F84" s="8"/>
      <c r="G84" s="8"/>
      <c r="H84" s="8"/>
      <c r="I84" s="8"/>
      <c r="J84" s="8"/>
      <c r="K84" s="8"/>
      <c r="L84" s="8"/>
      <c r="M84" s="8"/>
      <c r="N84" s="8"/>
      <c r="O84" s="8"/>
      <c r="P84" s="8"/>
      <c r="Q84" s="8"/>
      <c r="R84" s="8"/>
      <c r="S84" s="8"/>
      <c r="T84" s="8"/>
      <c r="U84" s="8"/>
      <c r="V84" s="8"/>
      <c r="X84" s="8"/>
    </row>
    <row r="85" spans="3:24" s="3" customFormat="1" x14ac:dyDescent="0.2">
      <c r="C85" s="8"/>
      <c r="D85" s="8"/>
      <c r="E85" s="8"/>
      <c r="F85" s="8"/>
      <c r="G85" s="8"/>
      <c r="H85" s="8"/>
      <c r="I85" s="8"/>
      <c r="J85" s="8"/>
      <c r="K85" s="8"/>
      <c r="L85" s="8"/>
      <c r="M85" s="8"/>
      <c r="N85" s="8"/>
      <c r="O85" s="8"/>
      <c r="P85" s="8"/>
      <c r="Q85" s="8"/>
      <c r="R85" s="8"/>
      <c r="S85" s="8"/>
      <c r="T85" s="8"/>
      <c r="U85" s="8"/>
      <c r="V85" s="8"/>
      <c r="X85" s="8"/>
    </row>
    <row r="86" spans="3:24" s="3" customFormat="1" x14ac:dyDescent="0.2">
      <c r="C86" s="8"/>
      <c r="D86" s="8"/>
      <c r="E86" s="8"/>
      <c r="F86" s="8"/>
      <c r="G86" s="8"/>
      <c r="H86" s="8"/>
      <c r="I86" s="8"/>
      <c r="J86" s="8"/>
      <c r="K86" s="8"/>
      <c r="L86" s="8"/>
      <c r="M86" s="8"/>
      <c r="N86" s="8"/>
      <c r="O86" s="8"/>
      <c r="P86" s="8"/>
      <c r="Q86" s="8"/>
      <c r="R86" s="8"/>
      <c r="S86" s="8"/>
      <c r="T86" s="8"/>
      <c r="U86" s="8"/>
      <c r="V86" s="8"/>
      <c r="X86" s="8"/>
    </row>
    <row r="87" spans="3:24" s="3" customFormat="1" x14ac:dyDescent="0.2">
      <c r="C87" s="8"/>
      <c r="D87" s="8"/>
      <c r="E87" s="8"/>
      <c r="F87" s="8"/>
      <c r="G87" s="8"/>
      <c r="H87" s="8"/>
      <c r="I87" s="8"/>
      <c r="J87" s="8"/>
      <c r="K87" s="8"/>
      <c r="L87" s="8"/>
      <c r="M87" s="8"/>
      <c r="N87" s="8"/>
      <c r="O87" s="8"/>
      <c r="P87" s="8"/>
      <c r="Q87" s="8"/>
      <c r="R87" s="8"/>
      <c r="S87" s="8"/>
      <c r="T87" s="8"/>
      <c r="U87" s="8"/>
      <c r="V87" s="8"/>
      <c r="X87" s="8"/>
    </row>
    <row r="88" spans="3:24" s="3" customFormat="1" x14ac:dyDescent="0.2">
      <c r="C88" s="8"/>
      <c r="D88" s="8"/>
      <c r="E88" s="8"/>
      <c r="F88" s="8"/>
      <c r="G88" s="8"/>
      <c r="H88" s="8"/>
      <c r="I88" s="8"/>
      <c r="J88" s="8"/>
      <c r="K88" s="8"/>
      <c r="L88" s="8"/>
      <c r="M88" s="8"/>
      <c r="N88" s="8"/>
      <c r="O88" s="8"/>
      <c r="P88" s="8"/>
      <c r="Q88" s="8"/>
      <c r="R88" s="8"/>
      <c r="S88" s="8"/>
      <c r="T88" s="8"/>
      <c r="U88" s="8"/>
      <c r="V88" s="8"/>
      <c r="X88" s="8"/>
    </row>
    <row r="89" spans="3:24" s="3" customFormat="1" x14ac:dyDescent="0.2">
      <c r="C89" s="8"/>
      <c r="D89" s="8"/>
      <c r="E89" s="8"/>
      <c r="F89" s="8"/>
      <c r="G89" s="8"/>
      <c r="H89" s="8"/>
      <c r="I89" s="8"/>
      <c r="J89" s="8"/>
      <c r="K89" s="8"/>
      <c r="L89" s="8"/>
      <c r="M89" s="8"/>
      <c r="N89" s="8"/>
      <c r="O89" s="8"/>
      <c r="P89" s="8"/>
      <c r="Q89" s="8"/>
      <c r="R89" s="8"/>
      <c r="S89" s="8"/>
      <c r="T89" s="8"/>
      <c r="U89" s="8"/>
      <c r="V89" s="8"/>
      <c r="X89" s="8"/>
    </row>
    <row r="90" spans="3:24" s="3" customFormat="1" x14ac:dyDescent="0.2">
      <c r="C90" s="8"/>
      <c r="D90" s="8"/>
      <c r="E90" s="8"/>
      <c r="F90" s="8"/>
      <c r="G90" s="8"/>
      <c r="H90" s="8"/>
      <c r="I90" s="8"/>
      <c r="J90" s="8"/>
      <c r="K90" s="8"/>
      <c r="L90" s="8"/>
      <c r="M90" s="8"/>
      <c r="N90" s="8"/>
      <c r="O90" s="8"/>
      <c r="P90" s="8"/>
      <c r="Q90" s="8"/>
      <c r="R90" s="8"/>
      <c r="S90" s="8"/>
      <c r="T90" s="8"/>
      <c r="U90" s="8"/>
      <c r="V90" s="8"/>
      <c r="X90" s="8"/>
    </row>
    <row r="91" spans="3:24" s="3" customFormat="1" x14ac:dyDescent="0.2">
      <c r="C91" s="8"/>
      <c r="D91" s="8"/>
      <c r="E91" s="8"/>
      <c r="F91" s="8"/>
      <c r="G91" s="8"/>
      <c r="H91" s="8"/>
      <c r="I91" s="8"/>
      <c r="J91" s="8"/>
      <c r="K91" s="8"/>
      <c r="L91" s="8"/>
      <c r="M91" s="8"/>
      <c r="N91" s="8"/>
      <c r="O91" s="8"/>
      <c r="P91" s="8"/>
      <c r="Q91" s="8"/>
      <c r="R91" s="8"/>
      <c r="S91" s="8"/>
      <c r="T91" s="8"/>
      <c r="U91" s="8"/>
      <c r="V91" s="8"/>
      <c r="X91" s="8"/>
    </row>
    <row r="92" spans="3:24" s="3" customFormat="1" x14ac:dyDescent="0.2">
      <c r="C92" s="8"/>
      <c r="D92" s="8"/>
      <c r="E92" s="8"/>
      <c r="F92" s="8"/>
      <c r="G92" s="8"/>
      <c r="H92" s="8"/>
      <c r="I92" s="8"/>
      <c r="J92" s="8"/>
      <c r="K92" s="8"/>
      <c r="L92" s="8"/>
      <c r="M92" s="8"/>
      <c r="N92" s="8"/>
      <c r="O92" s="8"/>
      <c r="P92" s="8"/>
      <c r="Q92" s="8"/>
      <c r="R92" s="8"/>
      <c r="S92" s="8"/>
      <c r="T92" s="8"/>
      <c r="U92" s="8"/>
      <c r="V92" s="8"/>
      <c r="X92" s="8"/>
    </row>
    <row r="93" spans="3:24" s="3" customFormat="1" x14ac:dyDescent="0.2">
      <c r="C93" s="8"/>
      <c r="D93" s="8"/>
      <c r="E93" s="8"/>
      <c r="F93" s="8"/>
      <c r="G93" s="8"/>
      <c r="H93" s="8"/>
      <c r="I93" s="8"/>
      <c r="J93" s="8"/>
      <c r="K93" s="8"/>
      <c r="L93" s="8"/>
      <c r="M93" s="8"/>
      <c r="N93" s="8"/>
      <c r="O93" s="8"/>
      <c r="P93" s="8"/>
      <c r="Q93" s="8"/>
      <c r="R93" s="8"/>
      <c r="S93" s="8"/>
      <c r="T93" s="8"/>
      <c r="U93" s="8"/>
      <c r="V93" s="8"/>
      <c r="X93" s="8"/>
    </row>
    <row r="94" spans="3:24" s="3" customFormat="1" x14ac:dyDescent="0.2">
      <c r="C94" s="8"/>
      <c r="D94" s="8"/>
      <c r="E94" s="8"/>
      <c r="F94" s="8"/>
      <c r="G94" s="8"/>
      <c r="H94" s="8"/>
      <c r="I94" s="8"/>
      <c r="J94" s="8"/>
      <c r="K94" s="8"/>
      <c r="L94" s="8"/>
      <c r="M94" s="8"/>
      <c r="N94" s="8"/>
      <c r="O94" s="8"/>
      <c r="P94" s="8"/>
      <c r="Q94" s="8"/>
      <c r="R94" s="8"/>
      <c r="S94" s="8"/>
      <c r="T94" s="8"/>
      <c r="U94" s="8"/>
      <c r="V94" s="8"/>
      <c r="X94" s="8"/>
    </row>
    <row r="95" spans="3:24" s="3" customFormat="1" x14ac:dyDescent="0.2">
      <c r="C95" s="8"/>
      <c r="D95" s="8"/>
      <c r="E95" s="8"/>
      <c r="F95" s="8"/>
      <c r="G95" s="8"/>
      <c r="H95" s="8"/>
      <c r="I95" s="8"/>
      <c r="J95" s="8"/>
      <c r="K95" s="8"/>
      <c r="L95" s="8"/>
      <c r="M95" s="8"/>
      <c r="N95" s="8"/>
      <c r="O95" s="8"/>
      <c r="P95" s="8"/>
      <c r="Q95" s="8"/>
      <c r="R95" s="8"/>
      <c r="S95" s="8"/>
      <c r="T95" s="8"/>
      <c r="U95" s="8"/>
      <c r="V95" s="8"/>
      <c r="X95" s="8"/>
    </row>
    <row r="96" spans="3:24" s="3" customFormat="1" x14ac:dyDescent="0.2">
      <c r="C96" s="8"/>
      <c r="D96" s="8"/>
      <c r="E96" s="8"/>
      <c r="F96" s="8"/>
      <c r="G96" s="8"/>
      <c r="H96" s="8"/>
      <c r="I96" s="8"/>
      <c r="J96" s="8"/>
      <c r="K96" s="8"/>
      <c r="L96" s="8"/>
      <c r="M96" s="8"/>
      <c r="N96" s="8"/>
      <c r="O96" s="8"/>
      <c r="P96" s="8"/>
      <c r="Q96" s="8"/>
      <c r="R96" s="8"/>
      <c r="S96" s="8"/>
      <c r="T96" s="8"/>
      <c r="U96" s="8"/>
      <c r="V96" s="8"/>
      <c r="X96" s="8"/>
    </row>
    <row r="97" spans="3:24" s="3" customFormat="1" x14ac:dyDescent="0.2">
      <c r="C97" s="8"/>
      <c r="D97" s="8"/>
      <c r="E97" s="8"/>
      <c r="F97" s="8"/>
      <c r="G97" s="8"/>
      <c r="H97" s="8"/>
      <c r="I97" s="8"/>
      <c r="J97" s="8"/>
      <c r="K97" s="8"/>
      <c r="L97" s="8"/>
      <c r="M97" s="8"/>
      <c r="N97" s="8"/>
      <c r="O97" s="8"/>
      <c r="P97" s="8"/>
      <c r="Q97" s="8"/>
      <c r="R97" s="8"/>
      <c r="S97" s="8"/>
      <c r="T97" s="8"/>
      <c r="U97" s="8"/>
      <c r="V97" s="8"/>
      <c r="X97" s="8"/>
    </row>
    <row r="98" spans="3:24" s="3" customFormat="1" x14ac:dyDescent="0.2">
      <c r="C98" s="8"/>
      <c r="D98" s="8"/>
      <c r="E98" s="8"/>
      <c r="F98" s="8"/>
      <c r="G98" s="8"/>
      <c r="H98" s="8"/>
      <c r="I98" s="8"/>
      <c r="J98" s="8"/>
      <c r="K98" s="8"/>
      <c r="L98" s="8"/>
      <c r="M98" s="8"/>
      <c r="N98" s="8"/>
      <c r="O98" s="8"/>
      <c r="P98" s="8"/>
      <c r="Q98" s="8"/>
      <c r="R98" s="8"/>
      <c r="S98" s="8"/>
      <c r="T98" s="8"/>
      <c r="U98" s="8"/>
      <c r="V98" s="8"/>
      <c r="X98" s="8"/>
    </row>
    <row r="99" spans="3:24" s="3" customFormat="1" x14ac:dyDescent="0.2">
      <c r="C99" s="8"/>
      <c r="D99" s="8"/>
      <c r="E99" s="8"/>
      <c r="F99" s="8"/>
      <c r="G99" s="8"/>
      <c r="H99" s="8"/>
      <c r="I99" s="8"/>
      <c r="J99" s="8"/>
      <c r="K99" s="8"/>
      <c r="L99" s="8"/>
      <c r="M99" s="8"/>
      <c r="N99" s="8"/>
      <c r="O99" s="8"/>
      <c r="P99" s="8"/>
      <c r="Q99" s="8"/>
      <c r="R99" s="8"/>
      <c r="S99" s="8"/>
      <c r="T99" s="8"/>
      <c r="U99" s="8"/>
      <c r="V99" s="8"/>
      <c r="X99" s="8"/>
    </row>
    <row r="100" spans="3:24" s="3" customFormat="1" x14ac:dyDescent="0.2">
      <c r="C100" s="8"/>
      <c r="D100" s="8"/>
      <c r="E100" s="8"/>
      <c r="F100" s="8"/>
      <c r="G100" s="8"/>
      <c r="H100" s="8"/>
      <c r="I100" s="8"/>
      <c r="J100" s="8"/>
      <c r="K100" s="8"/>
      <c r="L100" s="8"/>
      <c r="M100" s="8"/>
      <c r="N100" s="8"/>
      <c r="O100" s="8"/>
      <c r="P100" s="8"/>
      <c r="Q100" s="8"/>
      <c r="R100" s="8"/>
      <c r="S100" s="8"/>
      <c r="T100" s="8"/>
      <c r="U100" s="8"/>
      <c r="V100" s="8"/>
      <c r="X100" s="8"/>
    </row>
    <row r="101" spans="3:24" s="3" customFormat="1" x14ac:dyDescent="0.2">
      <c r="C101" s="8"/>
      <c r="D101" s="8"/>
      <c r="E101" s="8"/>
      <c r="F101" s="8"/>
      <c r="G101" s="8"/>
      <c r="H101" s="8"/>
      <c r="I101" s="8"/>
      <c r="J101" s="8"/>
      <c r="K101" s="8"/>
      <c r="L101" s="8"/>
      <c r="M101" s="8"/>
      <c r="N101" s="8"/>
      <c r="O101" s="8"/>
      <c r="P101" s="8"/>
      <c r="Q101" s="8"/>
      <c r="R101" s="8"/>
      <c r="S101" s="8"/>
      <c r="T101" s="8"/>
      <c r="U101" s="8"/>
      <c r="V101" s="8"/>
      <c r="X101" s="8"/>
    </row>
    <row r="102" spans="3:24" s="3" customFormat="1" x14ac:dyDescent="0.2">
      <c r="C102" s="8"/>
      <c r="D102" s="8"/>
      <c r="E102" s="8"/>
      <c r="F102" s="8"/>
      <c r="G102" s="8"/>
      <c r="H102" s="8"/>
      <c r="I102" s="8"/>
      <c r="J102" s="8"/>
      <c r="K102" s="8"/>
      <c r="L102" s="8"/>
      <c r="M102" s="8"/>
      <c r="N102" s="8"/>
      <c r="O102" s="8"/>
      <c r="P102" s="8"/>
      <c r="Q102" s="8"/>
      <c r="R102" s="8"/>
      <c r="S102" s="8"/>
      <c r="T102" s="8"/>
      <c r="U102" s="8"/>
      <c r="V102" s="8"/>
      <c r="X102" s="8"/>
    </row>
    <row r="103" spans="3:24" s="3" customFormat="1" x14ac:dyDescent="0.2">
      <c r="C103" s="8"/>
      <c r="D103" s="8"/>
      <c r="E103" s="8"/>
      <c r="F103" s="8"/>
      <c r="G103" s="8"/>
      <c r="H103" s="8"/>
      <c r="I103" s="8"/>
      <c r="J103" s="8"/>
      <c r="K103" s="8"/>
      <c r="L103" s="8"/>
      <c r="M103" s="8"/>
      <c r="N103" s="8"/>
      <c r="O103" s="8"/>
      <c r="P103" s="8"/>
      <c r="Q103" s="8"/>
      <c r="R103" s="8"/>
      <c r="S103" s="8"/>
      <c r="T103" s="8"/>
      <c r="U103" s="8"/>
      <c r="V103" s="8"/>
      <c r="X103" s="8"/>
    </row>
    <row r="104" spans="3:24" s="3" customFormat="1" x14ac:dyDescent="0.2">
      <c r="C104" s="8"/>
      <c r="D104" s="8"/>
      <c r="E104" s="8"/>
      <c r="F104" s="8"/>
      <c r="G104" s="8"/>
      <c r="H104" s="8"/>
      <c r="I104" s="8"/>
      <c r="J104" s="8"/>
      <c r="K104" s="8"/>
      <c r="L104" s="8"/>
      <c r="M104" s="8"/>
      <c r="N104" s="8"/>
      <c r="O104" s="8"/>
      <c r="P104" s="8"/>
      <c r="Q104" s="8"/>
      <c r="R104" s="8"/>
      <c r="S104" s="8"/>
      <c r="T104" s="8"/>
      <c r="U104" s="8"/>
      <c r="V104" s="8"/>
      <c r="X104" s="8"/>
    </row>
    <row r="105" spans="3:24" s="3" customFormat="1" x14ac:dyDescent="0.2">
      <c r="C105" s="8"/>
      <c r="D105" s="8"/>
      <c r="E105" s="8"/>
      <c r="F105" s="8"/>
      <c r="G105" s="8"/>
      <c r="H105" s="8"/>
      <c r="I105" s="8"/>
      <c r="J105" s="8"/>
      <c r="K105" s="8"/>
      <c r="L105" s="8"/>
      <c r="M105" s="8"/>
      <c r="N105" s="8"/>
      <c r="O105" s="8"/>
      <c r="P105" s="8"/>
      <c r="Q105" s="8"/>
      <c r="R105" s="8"/>
      <c r="S105" s="8"/>
      <c r="T105" s="8"/>
      <c r="U105" s="8"/>
      <c r="V105" s="8"/>
      <c r="X105" s="8"/>
    </row>
    <row r="106" spans="3:24" s="3" customFormat="1" x14ac:dyDescent="0.2">
      <c r="C106" s="8"/>
      <c r="D106" s="8"/>
      <c r="E106" s="8"/>
      <c r="F106" s="8"/>
      <c r="G106" s="8"/>
      <c r="H106" s="8"/>
      <c r="I106" s="8"/>
      <c r="J106" s="8"/>
      <c r="K106" s="8"/>
      <c r="L106" s="8"/>
      <c r="M106" s="8"/>
      <c r="N106" s="8"/>
      <c r="O106" s="8"/>
      <c r="P106" s="8"/>
      <c r="Q106" s="8"/>
      <c r="R106" s="8"/>
      <c r="S106" s="8"/>
      <c r="T106" s="8"/>
      <c r="U106" s="8"/>
      <c r="V106" s="8"/>
      <c r="X106" s="8"/>
    </row>
    <row r="107" spans="3:24" s="3" customFormat="1" x14ac:dyDescent="0.2">
      <c r="C107" s="8"/>
      <c r="D107" s="8"/>
      <c r="E107" s="8"/>
      <c r="F107" s="8"/>
      <c r="G107" s="8"/>
      <c r="H107" s="8"/>
      <c r="I107" s="8"/>
      <c r="J107" s="8"/>
      <c r="K107" s="8"/>
      <c r="L107" s="8"/>
      <c r="M107" s="8"/>
      <c r="N107" s="8"/>
      <c r="O107" s="8"/>
      <c r="P107" s="8"/>
      <c r="Q107" s="8"/>
      <c r="R107" s="8"/>
      <c r="S107" s="8"/>
      <c r="T107" s="8"/>
      <c r="U107" s="8"/>
      <c r="V107" s="8"/>
      <c r="X107" s="8"/>
    </row>
    <row r="108" spans="3:24" s="3" customFormat="1" x14ac:dyDescent="0.2">
      <c r="C108" s="8"/>
      <c r="D108" s="8"/>
      <c r="E108" s="8"/>
      <c r="F108" s="8"/>
      <c r="G108" s="8"/>
      <c r="H108" s="8"/>
      <c r="I108" s="8"/>
      <c r="J108" s="8"/>
      <c r="K108" s="8"/>
      <c r="L108" s="8"/>
      <c r="M108" s="8"/>
      <c r="N108" s="8"/>
      <c r="O108" s="8"/>
      <c r="P108" s="8"/>
      <c r="Q108" s="8"/>
      <c r="R108" s="8"/>
      <c r="S108" s="8"/>
      <c r="T108" s="8"/>
      <c r="U108" s="8"/>
      <c r="V108" s="8"/>
      <c r="X108" s="8"/>
    </row>
    <row r="109" spans="3:24" s="3" customFormat="1" x14ac:dyDescent="0.2">
      <c r="C109" s="8"/>
      <c r="D109" s="8"/>
      <c r="E109" s="8"/>
      <c r="F109" s="8"/>
      <c r="G109" s="8"/>
      <c r="H109" s="8"/>
      <c r="I109" s="8"/>
      <c r="J109" s="8"/>
      <c r="K109" s="8"/>
      <c r="L109" s="8"/>
      <c r="M109" s="8"/>
      <c r="N109" s="8"/>
      <c r="O109" s="8"/>
      <c r="P109" s="8"/>
      <c r="Q109" s="8"/>
      <c r="R109" s="8"/>
      <c r="S109" s="8"/>
      <c r="T109" s="8"/>
      <c r="U109" s="8"/>
      <c r="V109" s="8"/>
      <c r="X109" s="8"/>
    </row>
    <row r="110" spans="3:24" s="3" customFormat="1" x14ac:dyDescent="0.2">
      <c r="C110" s="8"/>
      <c r="D110" s="8"/>
      <c r="E110" s="8"/>
      <c r="F110" s="8"/>
      <c r="G110" s="8"/>
      <c r="H110" s="8"/>
      <c r="I110" s="8"/>
      <c r="J110" s="8"/>
      <c r="K110" s="8"/>
      <c r="L110" s="8"/>
      <c r="M110" s="8"/>
      <c r="N110" s="8"/>
      <c r="O110" s="8"/>
      <c r="P110" s="8"/>
      <c r="Q110" s="8"/>
      <c r="R110" s="8"/>
      <c r="S110" s="8"/>
      <c r="T110" s="8"/>
      <c r="U110" s="8"/>
      <c r="V110" s="8"/>
      <c r="X110" s="8"/>
    </row>
    <row r="111" spans="3:24" s="3" customFormat="1" x14ac:dyDescent="0.2">
      <c r="C111" s="8"/>
      <c r="D111" s="8"/>
      <c r="E111" s="8"/>
      <c r="F111" s="8"/>
      <c r="G111" s="8"/>
      <c r="H111" s="8"/>
      <c r="I111" s="8"/>
      <c r="J111" s="8"/>
      <c r="K111" s="8"/>
      <c r="L111" s="8"/>
      <c r="M111" s="8"/>
      <c r="N111" s="8"/>
      <c r="O111" s="8"/>
      <c r="P111" s="8"/>
      <c r="Q111" s="8"/>
      <c r="R111" s="8"/>
      <c r="S111" s="8"/>
      <c r="T111" s="8"/>
      <c r="U111" s="8"/>
      <c r="V111" s="8"/>
      <c r="X111" s="8"/>
    </row>
    <row r="112" spans="3:24" s="3" customFormat="1" x14ac:dyDescent="0.2">
      <c r="C112" s="8"/>
      <c r="D112" s="8"/>
      <c r="E112" s="8"/>
      <c r="F112" s="8"/>
      <c r="G112" s="8"/>
      <c r="H112" s="8"/>
      <c r="I112" s="8"/>
      <c r="J112" s="8"/>
      <c r="K112" s="8"/>
      <c r="L112" s="8"/>
      <c r="M112" s="8"/>
      <c r="N112" s="8"/>
      <c r="O112" s="8"/>
      <c r="P112" s="8"/>
      <c r="Q112" s="8"/>
      <c r="R112" s="8"/>
      <c r="S112" s="8"/>
      <c r="T112" s="8"/>
      <c r="U112" s="8"/>
      <c r="V112" s="8"/>
      <c r="X112" s="8"/>
    </row>
    <row r="113" spans="3:24" s="3" customFormat="1" x14ac:dyDescent="0.2">
      <c r="C113" s="8"/>
      <c r="D113" s="8"/>
      <c r="E113" s="8"/>
      <c r="F113" s="8"/>
      <c r="G113" s="8"/>
      <c r="H113" s="8"/>
      <c r="I113" s="8"/>
      <c r="J113" s="8"/>
      <c r="K113" s="8"/>
      <c r="L113" s="8"/>
      <c r="M113" s="8"/>
      <c r="N113" s="8"/>
      <c r="O113" s="8"/>
      <c r="P113" s="8"/>
      <c r="Q113" s="8"/>
      <c r="R113" s="8"/>
      <c r="S113" s="8"/>
      <c r="T113" s="8"/>
      <c r="U113" s="8"/>
      <c r="V113" s="8"/>
      <c r="X113" s="8"/>
    </row>
    <row r="114" spans="3:24" s="3" customFormat="1" x14ac:dyDescent="0.2">
      <c r="C114" s="8"/>
      <c r="D114" s="8"/>
      <c r="E114" s="8"/>
      <c r="F114" s="8"/>
      <c r="G114" s="8"/>
      <c r="H114" s="8"/>
      <c r="I114" s="8"/>
      <c r="J114" s="8"/>
      <c r="K114" s="8"/>
      <c r="L114" s="8"/>
      <c r="M114" s="8"/>
      <c r="N114" s="8"/>
      <c r="O114" s="8"/>
      <c r="P114" s="8"/>
      <c r="Q114" s="8"/>
      <c r="R114" s="8"/>
      <c r="S114" s="8"/>
      <c r="T114" s="8"/>
      <c r="U114" s="8"/>
      <c r="V114" s="8"/>
      <c r="X114" s="8"/>
    </row>
    <row r="115" spans="3:24" s="3" customFormat="1" x14ac:dyDescent="0.2">
      <c r="C115" s="8"/>
      <c r="D115" s="8"/>
      <c r="E115" s="8"/>
      <c r="F115" s="8"/>
      <c r="G115" s="8"/>
      <c r="H115" s="8"/>
      <c r="I115" s="8"/>
      <c r="J115" s="8"/>
      <c r="K115" s="8"/>
      <c r="L115" s="8"/>
      <c r="M115" s="8"/>
      <c r="N115" s="8"/>
      <c r="O115" s="8"/>
      <c r="P115" s="8"/>
      <c r="Q115" s="8"/>
      <c r="R115" s="8"/>
      <c r="S115" s="8"/>
      <c r="T115" s="8"/>
      <c r="U115" s="8"/>
      <c r="V115" s="8"/>
      <c r="X115" s="8"/>
    </row>
  </sheetData>
  <mergeCells count="3">
    <mergeCell ref="E3:H3"/>
    <mergeCell ref="L3:O3"/>
    <mergeCell ref="S3:V3"/>
  </mergeCells>
  <pageMargins left="0.25" right="0.25" top="0.75" bottom="0.75" header="0.3" footer="0.3"/>
  <pageSetup scale="36"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tabColor rgb="FF1B65A9"/>
    <pageSetUpPr fitToPage="1"/>
  </sheetPr>
  <dimension ref="A1:E21"/>
  <sheetViews>
    <sheetView zoomScale="65" zoomScaleNormal="65" zoomScaleSheetLayoutView="70" workbookViewId="0"/>
  </sheetViews>
  <sheetFormatPr defaultColWidth="9.140625" defaultRowHeight="16.5" x14ac:dyDescent="0.25"/>
  <cols>
    <col min="1" max="1" width="5.7109375" style="52" customWidth="1"/>
    <col min="2" max="2" width="150.5703125" style="52" customWidth="1"/>
    <col min="3" max="3" width="7.7109375" style="52" customWidth="1"/>
    <col min="4" max="4" width="9.140625" style="52"/>
    <col min="5" max="5" width="4.28515625" style="52" customWidth="1"/>
    <col min="6" max="16384" width="9.140625" style="52"/>
  </cols>
  <sheetData>
    <row r="1" spans="1:5" ht="18" x14ac:dyDescent="0.25">
      <c r="B1" s="207" t="s">
        <v>296</v>
      </c>
    </row>
    <row r="2" spans="1:5" x14ac:dyDescent="0.25">
      <c r="B2" s="212"/>
    </row>
    <row r="3" spans="1:5" x14ac:dyDescent="0.25">
      <c r="B3" s="52" t="s">
        <v>174</v>
      </c>
    </row>
    <row r="5" spans="1:5" ht="49.5" x14ac:dyDescent="0.25">
      <c r="A5" s="222" t="s">
        <v>113</v>
      </c>
      <c r="B5" s="213" t="s">
        <v>350</v>
      </c>
      <c r="E5" s="213"/>
    </row>
    <row r="6" spans="1:5" x14ac:dyDescent="0.25">
      <c r="A6" s="213"/>
      <c r="B6" s="215"/>
      <c r="E6" s="215"/>
    </row>
    <row r="7" spans="1:5" ht="66" x14ac:dyDescent="0.25">
      <c r="A7" s="222" t="s">
        <v>114</v>
      </c>
      <c r="B7" s="213" t="s">
        <v>349</v>
      </c>
      <c r="E7" s="213"/>
    </row>
    <row r="8" spans="1:5" x14ac:dyDescent="0.25">
      <c r="A8" s="213"/>
      <c r="B8" s="215"/>
      <c r="E8" s="215"/>
    </row>
    <row r="9" spans="1:5" ht="66" x14ac:dyDescent="0.25">
      <c r="A9" s="222" t="s">
        <v>115</v>
      </c>
      <c r="B9" s="213" t="s">
        <v>348</v>
      </c>
      <c r="E9" s="213"/>
    </row>
    <row r="10" spans="1:5" x14ac:dyDescent="0.25">
      <c r="A10" s="213"/>
      <c r="B10" s="215"/>
      <c r="E10" s="215"/>
    </row>
    <row r="11" spans="1:5" ht="49.5" x14ac:dyDescent="0.25">
      <c r="A11" s="222" t="s">
        <v>116</v>
      </c>
      <c r="B11" s="213" t="s">
        <v>347</v>
      </c>
      <c r="E11" s="213"/>
    </row>
    <row r="12" spans="1:5" x14ac:dyDescent="0.25">
      <c r="A12" s="213"/>
      <c r="B12" s="215"/>
      <c r="E12" s="215"/>
    </row>
    <row r="13" spans="1:5" ht="90" customHeight="1" x14ac:dyDescent="0.25">
      <c r="A13" s="222" t="s">
        <v>117</v>
      </c>
      <c r="B13" s="213" t="s">
        <v>351</v>
      </c>
      <c r="E13" s="213"/>
    </row>
    <row r="14" spans="1:5" x14ac:dyDescent="0.25">
      <c r="A14" s="213"/>
      <c r="B14" s="215"/>
      <c r="E14" s="215"/>
    </row>
    <row r="15" spans="1:5" ht="66" x14ac:dyDescent="0.25">
      <c r="A15" s="222" t="s">
        <v>118</v>
      </c>
      <c r="B15" s="213" t="s">
        <v>352</v>
      </c>
      <c r="E15" s="213"/>
    </row>
    <row r="16" spans="1:5" x14ac:dyDescent="0.25">
      <c r="A16" s="213"/>
      <c r="B16" s="216"/>
      <c r="E16" s="216"/>
    </row>
    <row r="17" spans="1:5" ht="49.5" x14ac:dyDescent="0.25">
      <c r="A17" s="222" t="s">
        <v>119</v>
      </c>
      <c r="B17" s="213" t="s">
        <v>353</v>
      </c>
      <c r="E17" s="213"/>
    </row>
    <row r="18" spans="1:5" x14ac:dyDescent="0.25">
      <c r="A18" s="213"/>
      <c r="B18" s="217"/>
      <c r="E18" s="217"/>
    </row>
    <row r="19" spans="1:5" ht="49.5" x14ac:dyDescent="0.25">
      <c r="A19" s="222" t="s">
        <v>120</v>
      </c>
      <c r="B19" s="250" t="s">
        <v>281</v>
      </c>
      <c r="E19" s="250"/>
    </row>
    <row r="20" spans="1:5" x14ac:dyDescent="0.25">
      <c r="A20" s="213"/>
    </row>
    <row r="21" spans="1:5" x14ac:dyDescent="0.25">
      <c r="A21" s="213"/>
    </row>
  </sheetData>
  <pageMargins left="0.25" right="0.25" top="0.75" bottom="0.75" header="0.3" footer="0.3"/>
  <pageSetup scale="8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tabColor rgb="FF1B65A9"/>
    <pageSetUpPr fitToPage="1"/>
  </sheetPr>
  <dimension ref="B1:H40"/>
  <sheetViews>
    <sheetView zoomScale="65" zoomScaleNormal="65" zoomScaleSheetLayoutView="70" workbookViewId="0"/>
  </sheetViews>
  <sheetFormatPr defaultColWidth="9.140625" defaultRowHeight="16.5" x14ac:dyDescent="0.25"/>
  <cols>
    <col min="1" max="1" width="9.140625" style="52"/>
    <col min="2" max="2" width="196.7109375" style="221" customWidth="1"/>
    <col min="3" max="3" width="134.85546875" style="52" customWidth="1"/>
    <col min="4" max="16384" width="9.140625" style="52"/>
  </cols>
  <sheetData>
    <row r="1" spans="2:8" ht="18" x14ac:dyDescent="0.25">
      <c r="B1" s="223" t="s">
        <v>297</v>
      </c>
      <c r="C1" s="218"/>
      <c r="D1" s="218"/>
      <c r="E1" s="218"/>
      <c r="F1" s="218"/>
      <c r="G1" s="218"/>
      <c r="H1" s="218"/>
    </row>
    <row r="3" spans="2:8" ht="173.25" customHeight="1" x14ac:dyDescent="0.25">
      <c r="B3" s="216" t="s">
        <v>365</v>
      </c>
    </row>
    <row r="4" spans="2:8" ht="33" x14ac:dyDescent="0.25">
      <c r="B4" s="216" t="s">
        <v>134</v>
      </c>
    </row>
    <row r="5" spans="2:8" ht="33" x14ac:dyDescent="0.25">
      <c r="B5" s="219" t="s">
        <v>187</v>
      </c>
    </row>
    <row r="6" spans="2:8" x14ac:dyDescent="0.25">
      <c r="B6" s="219" t="s">
        <v>188</v>
      </c>
    </row>
    <row r="7" spans="2:8" ht="33" x14ac:dyDescent="0.25">
      <c r="B7" s="219" t="s">
        <v>189</v>
      </c>
    </row>
    <row r="8" spans="2:8" x14ac:dyDescent="0.25">
      <c r="B8" s="216" t="s">
        <v>135</v>
      </c>
    </row>
    <row r="9" spans="2:8" ht="82.5" x14ac:dyDescent="0.25">
      <c r="B9" s="216" t="s">
        <v>136</v>
      </c>
    </row>
    <row r="11" spans="2:8" x14ac:dyDescent="0.25">
      <c r="B11" s="216" t="s">
        <v>137</v>
      </c>
    </row>
    <row r="12" spans="2:8" ht="82.5" x14ac:dyDescent="0.25">
      <c r="B12" s="219" t="s">
        <v>190</v>
      </c>
    </row>
    <row r="13" spans="2:8" ht="66" x14ac:dyDescent="0.25">
      <c r="B13" s="219" t="s">
        <v>191</v>
      </c>
    </row>
    <row r="14" spans="2:8" ht="99" x14ac:dyDescent="0.25">
      <c r="B14" s="219" t="s">
        <v>192</v>
      </c>
    </row>
    <row r="15" spans="2:8" ht="82.5" x14ac:dyDescent="0.25">
      <c r="B15" s="219" t="s">
        <v>193</v>
      </c>
    </row>
    <row r="16" spans="2:8" ht="82.5" x14ac:dyDescent="0.25">
      <c r="B16" s="219" t="s">
        <v>344</v>
      </c>
    </row>
    <row r="17" spans="2:2" ht="33" x14ac:dyDescent="0.25">
      <c r="B17" s="219" t="s">
        <v>337</v>
      </c>
    </row>
    <row r="18" spans="2:2" ht="143.25" customHeight="1" x14ac:dyDescent="0.25">
      <c r="B18" s="219" t="s">
        <v>373</v>
      </c>
    </row>
    <row r="19" spans="2:2" ht="82.5" x14ac:dyDescent="0.25">
      <c r="B19" s="219" t="s">
        <v>194</v>
      </c>
    </row>
    <row r="20" spans="2:2" ht="66" x14ac:dyDescent="0.25">
      <c r="B20" s="219" t="s">
        <v>195</v>
      </c>
    </row>
    <row r="21" spans="2:2" ht="114.75" customHeight="1" x14ac:dyDescent="0.25">
      <c r="B21" s="267" t="s">
        <v>374</v>
      </c>
    </row>
    <row r="22" spans="2:2" ht="82.5" x14ac:dyDescent="0.25">
      <c r="B22" s="219" t="s">
        <v>341</v>
      </c>
    </row>
    <row r="24" spans="2:2" ht="148.5" x14ac:dyDescent="0.25">
      <c r="B24" s="219" t="s">
        <v>375</v>
      </c>
    </row>
    <row r="25" spans="2:2" x14ac:dyDescent="0.25">
      <c r="B25" s="219"/>
    </row>
    <row r="26" spans="2:2" x14ac:dyDescent="0.25">
      <c r="B26" s="220" t="s">
        <v>288</v>
      </c>
    </row>
    <row r="27" spans="2:2" x14ac:dyDescent="0.25">
      <c r="B27" s="216" t="s">
        <v>289</v>
      </c>
    </row>
    <row r="28" spans="2:2" x14ac:dyDescent="0.25">
      <c r="B28" s="216"/>
    </row>
    <row r="29" spans="2:2" ht="33" x14ac:dyDescent="0.25">
      <c r="B29" s="216" t="s">
        <v>290</v>
      </c>
    </row>
    <row r="30" spans="2:2" x14ac:dyDescent="0.25">
      <c r="B30" s="216"/>
    </row>
    <row r="31" spans="2:2" ht="49.5" x14ac:dyDescent="0.25">
      <c r="B31" s="216" t="s">
        <v>291</v>
      </c>
    </row>
    <row r="33" spans="2:2" x14ac:dyDescent="0.25">
      <c r="B33" s="220" t="s">
        <v>138</v>
      </c>
    </row>
    <row r="34" spans="2:2" ht="82.5" x14ac:dyDescent="0.25">
      <c r="B34" s="216" t="s">
        <v>357</v>
      </c>
    </row>
    <row r="35" spans="2:2" x14ac:dyDescent="0.25">
      <c r="B35" s="216"/>
    </row>
    <row r="36" spans="2:2" x14ac:dyDescent="0.25">
      <c r="B36" s="220" t="s">
        <v>139</v>
      </c>
    </row>
    <row r="37" spans="2:2" ht="66" x14ac:dyDescent="0.25">
      <c r="B37" s="216" t="s">
        <v>140</v>
      </c>
    </row>
    <row r="39" spans="2:2" x14ac:dyDescent="0.25">
      <c r="B39" s="220" t="s">
        <v>292</v>
      </c>
    </row>
    <row r="40" spans="2:2" ht="247.5" x14ac:dyDescent="0.25">
      <c r="B40" s="216" t="s">
        <v>293</v>
      </c>
    </row>
  </sheetData>
  <pageMargins left="0.25" right="0.25" top="0.75" bottom="0.75" header="0.3" footer="0.3"/>
  <pageSetup scale="24" orientation="landscape" r:id="rId1"/>
  <rowBreaks count="1" manualBreakCount="1">
    <brk id="16" min="1" max="1" man="1"/>
  </rowBreaks>
  <colBreaks count="1" manualBreakCount="1">
    <brk id="2" max="3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00FF"/>
    <pageSetUpPr fitToPage="1"/>
  </sheetPr>
  <dimension ref="A1:Z26"/>
  <sheetViews>
    <sheetView zoomScale="65" zoomScaleNormal="65" zoomScaleSheetLayoutView="100" workbookViewId="0">
      <pane xSplit="1" ySplit="4" topLeftCell="B5" activePane="bottomRight" state="frozen"/>
      <selection activeCell="A30" sqref="A30"/>
      <selection pane="topRight" activeCell="A30" sqref="A30"/>
      <selection pane="bottomLeft" activeCell="A30" sqref="A30"/>
      <selection pane="bottomRight" activeCell="B5" sqref="B5"/>
    </sheetView>
  </sheetViews>
  <sheetFormatPr defaultColWidth="9.140625" defaultRowHeight="11.25" outlineLevelCol="2" x14ac:dyDescent="0.2"/>
  <cols>
    <col min="1" max="1" width="65.42578125" style="13" bestFit="1" customWidth="1"/>
    <col min="2" max="3" width="20.7109375" style="13" customWidth="1" outlineLevel="1"/>
    <col min="4" max="4" width="1.7109375" style="13" hidden="1" customWidth="1" outlineLevel="2"/>
    <col min="5" max="8" width="20.7109375" style="13" hidden="1" customWidth="1" outlineLevel="2"/>
    <col min="9" max="9" width="1.7109375" style="13" hidden="1" customWidth="1" outlineLevel="2"/>
    <col min="10" max="10" width="20.7109375" style="13" customWidth="1" outlineLevel="1" collapsed="1"/>
    <col min="11" max="11" width="1.7109375" style="13" customWidth="1"/>
    <col min="12" max="15" width="20.7109375" style="13" customWidth="1" outlineLevel="1"/>
    <col min="16" max="16" width="1" style="13" customWidth="1"/>
    <col min="17" max="17" width="20.7109375" style="13" customWidth="1"/>
    <col min="18" max="18" width="2.28515625" style="13" customWidth="1"/>
    <col min="19" max="22" width="20.7109375" style="13" customWidth="1"/>
    <col min="23" max="23" width="1.7109375" style="13" customWidth="1"/>
    <col min="24" max="24" width="20.7109375" style="13" customWidth="1"/>
    <col min="25" max="25" width="14.85546875" style="13" customWidth="1"/>
    <col min="26" max="26" width="3.85546875" style="13" customWidth="1"/>
    <col min="27" max="27" width="9.28515625" style="3" bestFit="1" customWidth="1"/>
    <col min="28" max="16384" width="9.140625" style="3"/>
  </cols>
  <sheetData>
    <row r="1" spans="1:26" ht="18" x14ac:dyDescent="0.25">
      <c r="A1" s="198" t="s">
        <v>168</v>
      </c>
    </row>
    <row r="2" spans="1:26" x14ac:dyDescent="0.2">
      <c r="A2" s="11"/>
      <c r="B2" s="11"/>
      <c r="C2" s="12"/>
    </row>
    <row r="3" spans="1:26" s="24" customFormat="1" ht="30" customHeight="1" x14ac:dyDescent="0.25">
      <c r="A3" s="78"/>
      <c r="B3" s="196" t="s">
        <v>31</v>
      </c>
      <c r="C3" s="196" t="s">
        <v>31</v>
      </c>
      <c r="E3" s="354" t="s">
        <v>1</v>
      </c>
      <c r="F3" s="354"/>
      <c r="G3" s="354"/>
      <c r="H3" s="354"/>
      <c r="I3" s="80"/>
      <c r="J3" s="81" t="s">
        <v>31</v>
      </c>
      <c r="K3" s="82"/>
      <c r="L3" s="354" t="s">
        <v>1</v>
      </c>
      <c r="M3" s="354"/>
      <c r="N3" s="354"/>
      <c r="O3" s="354"/>
      <c r="P3" s="82"/>
      <c r="Q3" s="262" t="s">
        <v>31</v>
      </c>
      <c r="R3" s="110"/>
      <c r="S3" s="354" t="s">
        <v>1</v>
      </c>
      <c r="T3" s="354"/>
      <c r="U3" s="354"/>
      <c r="V3" s="354"/>
      <c r="X3" s="303" t="s">
        <v>31</v>
      </c>
    </row>
    <row r="4" spans="1:26" s="24" customFormat="1" ht="30" customHeight="1" x14ac:dyDescent="0.25">
      <c r="A4" s="83" t="s">
        <v>0</v>
      </c>
      <c r="B4" s="84" t="s">
        <v>155</v>
      </c>
      <c r="C4" s="84" t="s">
        <v>159</v>
      </c>
      <c r="E4" s="84" t="s">
        <v>156</v>
      </c>
      <c r="F4" s="84" t="s">
        <v>157</v>
      </c>
      <c r="G4" s="84" t="s">
        <v>158</v>
      </c>
      <c r="H4" s="84" t="s">
        <v>100</v>
      </c>
      <c r="I4" s="86"/>
      <c r="J4" s="84" t="s">
        <v>100</v>
      </c>
      <c r="K4" s="82"/>
      <c r="L4" s="84" t="s">
        <v>148</v>
      </c>
      <c r="M4" s="84" t="s">
        <v>149</v>
      </c>
      <c r="N4" s="84" t="s">
        <v>109</v>
      </c>
      <c r="O4" s="84" t="s">
        <v>314</v>
      </c>
      <c r="P4" s="82"/>
      <c r="Q4" s="84" t="s">
        <v>314</v>
      </c>
      <c r="R4" s="86"/>
      <c r="S4" s="84" t="s">
        <v>327</v>
      </c>
      <c r="T4" s="84" t="s">
        <v>330</v>
      </c>
      <c r="U4" s="84" t="s">
        <v>338</v>
      </c>
      <c r="V4" s="84" t="s">
        <v>346</v>
      </c>
      <c r="X4" s="84" t="s">
        <v>346</v>
      </c>
    </row>
    <row r="5" spans="1:26" x14ac:dyDescent="0.2">
      <c r="A5" s="3"/>
      <c r="P5" s="3"/>
    </row>
    <row r="6" spans="1:26" s="52" customFormat="1" ht="16.5" x14ac:dyDescent="0.25">
      <c r="A6" s="62" t="s">
        <v>32</v>
      </c>
      <c r="B6" s="89">
        <f>+'CES Gross Profit'!B6+'CIS Gross Profit'!B6</f>
        <v>1062.106</v>
      </c>
      <c r="C6" s="89">
        <f>+'CES Gross Profit'!C6+'CIS Gross Profit'!C6</f>
        <v>1135.1999999999998</v>
      </c>
      <c r="D6" s="102"/>
      <c r="E6" s="89">
        <f>+'CES Gross Profit'!E6+'CIS Gross Profit'!E6</f>
        <v>289.15600000000001</v>
      </c>
      <c r="F6" s="89">
        <f>+'CES Gross Profit'!F6+'CIS Gross Profit'!F6</f>
        <v>306.327</v>
      </c>
      <c r="G6" s="89">
        <f>+'CES Gross Profit'!G6+'CIS Gross Profit'!G6</f>
        <v>303.983</v>
      </c>
      <c r="H6" s="89">
        <f>+'CES Gross Profit'!H6+'CIS Gross Profit'!H6</f>
        <v>330.173</v>
      </c>
      <c r="I6" s="102"/>
      <c r="J6" s="89">
        <f>+'CES Gross Profit'!J6+'CIS Gross Profit'!J6</f>
        <v>1229.6869999999999</v>
      </c>
      <c r="K6" s="102"/>
      <c r="L6" s="89">
        <f>+'CES Gross Profit'!L6+'CIS Gross Profit'!L6</f>
        <v>315.25900000000001</v>
      </c>
      <c r="M6" s="89">
        <f>+'CES Gross Profit'!M6+'CIS Gross Profit'!M6</f>
        <v>324.30500000000001</v>
      </c>
      <c r="N6" s="89">
        <f>+'CES Gross Profit'!N6+'CIS Gross Profit'!N6</f>
        <v>324.86700000000002</v>
      </c>
      <c r="O6" s="89">
        <f>+'CES Gross Profit'!O6+'CIS Gross Profit'!O6</f>
        <v>339.20299999999997</v>
      </c>
      <c r="Q6" s="89">
        <f>+'CES Gross Profit'!Q6+'CIS Gross Profit'!Q6</f>
        <v>1303.634</v>
      </c>
      <c r="R6" s="102"/>
      <c r="S6" s="89">
        <f>+'CES Gross Profit'!S6+'CIS Gross Profit'!S6</f>
        <v>287.29500000000002</v>
      </c>
      <c r="T6" s="89">
        <f>+'CES Gross Profit'!T6+'CIS Gross Profit'!T6</f>
        <v>309.10900000000004</v>
      </c>
      <c r="U6" s="89">
        <f>+'CES Gross Profit'!U6+'CIS Gross Profit'!U6</f>
        <v>328.20099999999996</v>
      </c>
      <c r="V6" s="89">
        <f>+'CES Gross Profit'!V6+'CIS Gross Profit'!V6</f>
        <v>349.1</v>
      </c>
      <c r="W6" s="102"/>
      <c r="X6" s="89">
        <f>+'CES Gross Profit'!X6+'CIS Gross Profit'!X6</f>
        <v>1273.7049999999999</v>
      </c>
      <c r="Y6" s="102"/>
      <c r="Z6" s="102"/>
    </row>
    <row r="7" spans="1:26" s="52" customFormat="1" ht="16.5" x14ac:dyDescent="0.25">
      <c r="B7" s="102"/>
      <c r="C7" s="102"/>
      <c r="D7" s="102"/>
      <c r="E7" s="102"/>
      <c r="F7" s="102"/>
      <c r="G7" s="102"/>
      <c r="H7" s="102"/>
      <c r="I7" s="102"/>
      <c r="J7" s="102"/>
      <c r="K7" s="102"/>
      <c r="L7" s="102"/>
      <c r="M7" s="102"/>
      <c r="N7" s="102"/>
      <c r="O7" s="102"/>
      <c r="Q7" s="102"/>
      <c r="R7" s="102"/>
      <c r="S7" s="102"/>
      <c r="T7" s="102"/>
      <c r="U7" s="102"/>
      <c r="V7" s="102"/>
      <c r="W7" s="102"/>
      <c r="X7" s="102"/>
      <c r="Y7" s="102"/>
      <c r="Z7" s="102"/>
    </row>
    <row r="8" spans="1:26" s="52" customFormat="1" ht="16.5" x14ac:dyDescent="0.25">
      <c r="A8" s="52" t="s">
        <v>141</v>
      </c>
      <c r="B8" s="103">
        <f>+'CES Gross Profit'!B8+'CIS Gross Profit'!B8</f>
        <v>116.85299999999999</v>
      </c>
      <c r="C8" s="103">
        <f>+'CES Gross Profit'!C8+'CIS Gross Profit'!C8</f>
        <v>127</v>
      </c>
      <c r="D8" s="102"/>
      <c r="E8" s="103">
        <f>+'CES Gross Profit'!E8+'CIS Gross Profit'!E8</f>
        <v>33.811</v>
      </c>
      <c r="F8" s="103">
        <f>+'CES Gross Profit'!F8+'CIS Gross Profit'!F8</f>
        <v>31.896000000000001</v>
      </c>
      <c r="G8" s="103">
        <f>+'CES Gross Profit'!G8+'CIS Gross Profit'!G8</f>
        <v>32.043999999999997</v>
      </c>
      <c r="H8" s="103">
        <f>+'CES Gross Profit'!H8+'CIS Gross Profit'!H8</f>
        <v>27.82</v>
      </c>
      <c r="I8" s="102"/>
      <c r="J8" s="103">
        <f>+'CES Gross Profit'!J8+'CIS Gross Profit'!J8</f>
        <v>125.571</v>
      </c>
      <c r="K8" s="102"/>
      <c r="L8" s="103">
        <f>+'CES Gross Profit'!L8+'CIS Gross Profit'!L8</f>
        <v>26.312000000000001</v>
      </c>
      <c r="M8" s="103">
        <f>+'CES Gross Profit'!M8+'CIS Gross Profit'!M8</f>
        <v>27.515000000000001</v>
      </c>
      <c r="N8" s="103">
        <f>+'CES Gross Profit'!N8+'CIS Gross Profit'!N8</f>
        <v>28.501000000000001</v>
      </c>
      <c r="O8" s="103">
        <f>+'CES Gross Profit'!O8+'CIS Gross Profit'!O8</f>
        <v>36.403999999999996</v>
      </c>
      <c r="Q8" s="103">
        <f>+'CES Gross Profit'!Q8+'CIS Gross Profit'!Q8</f>
        <v>118.746</v>
      </c>
      <c r="R8" s="102"/>
      <c r="S8" s="103">
        <f>+'CES Gross Profit'!S8+'CIS Gross Profit'!S8</f>
        <v>20.634999999999998</v>
      </c>
      <c r="T8" s="103">
        <f>+'CES Gross Profit'!T8+'CIS Gross Profit'!T8</f>
        <v>23.398</v>
      </c>
      <c r="U8" s="103">
        <f>+'CES Gross Profit'!U8+'CIS Gross Profit'!U8</f>
        <v>20.545999999999999</v>
      </c>
      <c r="V8" s="103">
        <f>+'CES Gross Profit'!V8+'CIS Gross Profit'!V8</f>
        <v>26.457999999999998</v>
      </c>
      <c r="W8" s="102"/>
      <c r="X8" s="103">
        <f>+'CES Gross Profit'!X8+'CIS Gross Profit'!X8</f>
        <v>91.037000000000006</v>
      </c>
      <c r="Y8" s="102"/>
      <c r="Z8" s="102"/>
    </row>
    <row r="9" spans="1:26" s="52" customFormat="1" ht="16.5" x14ac:dyDescent="0.25">
      <c r="A9" s="52" t="s">
        <v>142</v>
      </c>
      <c r="B9" s="103">
        <f>+'CES Gross Profit'!B9+'CIS Gross Profit'!B9</f>
        <v>244.584</v>
      </c>
      <c r="C9" s="103">
        <f>+'CES Gross Profit'!C9+'CIS Gross Profit'!C9</f>
        <v>261.471</v>
      </c>
      <c r="D9" s="102"/>
      <c r="E9" s="103">
        <f>+'CES Gross Profit'!E9+'CIS Gross Profit'!E9</f>
        <v>68.59</v>
      </c>
      <c r="F9" s="103">
        <f>+'CES Gross Profit'!F9+'CIS Gross Profit'!F9</f>
        <v>71.271000000000001</v>
      </c>
      <c r="G9" s="103">
        <f>+'CES Gross Profit'!G9+'CIS Gross Profit'!G9</f>
        <v>68.263999999999996</v>
      </c>
      <c r="H9" s="103">
        <f>+'CES Gross Profit'!H9+'CIS Gross Profit'!H9</f>
        <v>71.367999999999995</v>
      </c>
      <c r="I9" s="102"/>
      <c r="J9" s="103">
        <f>+'CES Gross Profit'!J9+'CIS Gross Profit'!J9</f>
        <v>279.53300000000002</v>
      </c>
      <c r="K9" s="102"/>
      <c r="L9" s="103">
        <f>+'CES Gross Profit'!L9+'CIS Gross Profit'!L9</f>
        <v>76.503</v>
      </c>
      <c r="M9" s="103">
        <f>+'CES Gross Profit'!M9+'CIS Gross Profit'!M9</f>
        <v>76.763000000000005</v>
      </c>
      <c r="N9" s="103">
        <f>+'CES Gross Profit'!N9+'CIS Gross Profit'!N9</f>
        <v>73.046999999999997</v>
      </c>
      <c r="O9" s="103">
        <f>+'CES Gross Profit'!O9+'CIS Gross Profit'!O9</f>
        <v>71.019000000000005</v>
      </c>
      <c r="Q9" s="103">
        <f>+'CES Gross Profit'!Q9+'CIS Gross Profit'!Q9</f>
        <v>297.32299999999998</v>
      </c>
      <c r="R9" s="102"/>
      <c r="S9" s="103">
        <f>+'CES Gross Profit'!S9+'CIS Gross Profit'!S9</f>
        <v>73.5</v>
      </c>
      <c r="T9" s="103">
        <f>+'CES Gross Profit'!T9+'CIS Gross Profit'!T9</f>
        <v>65.786999999999992</v>
      </c>
      <c r="U9" s="103">
        <f>+'CES Gross Profit'!U9+'CIS Gross Profit'!U9</f>
        <v>71.716999999999999</v>
      </c>
      <c r="V9" s="103">
        <f>+'CES Gross Profit'!V9+'CIS Gross Profit'!V9</f>
        <v>76.414000000000001</v>
      </c>
      <c r="W9" s="102"/>
      <c r="X9" s="103">
        <f>+'CES Gross Profit'!X9+'CIS Gross Profit'!X9</f>
        <v>287.41800000000001</v>
      </c>
      <c r="Y9" s="102"/>
      <c r="Z9" s="102"/>
    </row>
    <row r="10" spans="1:26" s="52" customFormat="1" ht="16.5" x14ac:dyDescent="0.25">
      <c r="A10" s="52" t="s">
        <v>27</v>
      </c>
      <c r="B10" s="103">
        <f>+'CES Gross Profit'!B10+'CIS Gross Profit'!B10</f>
        <v>37.372</v>
      </c>
      <c r="C10" s="103">
        <f>+'CES Gross Profit'!C10+'CIS Gross Profit'!C10</f>
        <v>38.216000000000001</v>
      </c>
      <c r="D10" s="102"/>
      <c r="E10" s="103">
        <f>+'CES Gross Profit'!E10+'CIS Gross Profit'!E10</f>
        <v>7.4260000000000002</v>
      </c>
      <c r="F10" s="103">
        <f>+'CES Gross Profit'!F10+'CIS Gross Profit'!F10</f>
        <v>5.52</v>
      </c>
      <c r="G10" s="103">
        <f>+'CES Gross Profit'!G10+'CIS Gross Profit'!G10</f>
        <v>5.9723000000000006</v>
      </c>
      <c r="H10" s="103">
        <f>+'CES Gross Profit'!H10+'CIS Gross Profit'!H10</f>
        <v>6.524</v>
      </c>
      <c r="I10" s="102"/>
      <c r="J10" s="103">
        <f>+'CES Gross Profit'!J10+'CIS Gross Profit'!J10</f>
        <v>25.402999999999999</v>
      </c>
      <c r="K10" s="102"/>
      <c r="L10" s="103">
        <f>+'CES Gross Profit'!L10+'CIS Gross Profit'!L10</f>
        <v>6.7069999999999999</v>
      </c>
      <c r="M10" s="103">
        <f>+'CES Gross Profit'!M10+'CIS Gross Profit'!M10</f>
        <v>5.5869999999999997</v>
      </c>
      <c r="N10" s="103">
        <f>+'CES Gross Profit'!N10+'CIS Gross Profit'!N10</f>
        <v>5.968</v>
      </c>
      <c r="O10" s="103">
        <f>+'CES Gross Profit'!O10+'CIS Gross Profit'!O10</f>
        <v>5.7219999999999995</v>
      </c>
      <c r="Q10" s="103">
        <f>+'CES Gross Profit'!Q10+'CIS Gross Profit'!Q10</f>
        <v>23.983999999999998</v>
      </c>
      <c r="R10" s="102"/>
      <c r="S10" s="103">
        <f>+'CES Gross Profit'!S10+'CIS Gross Profit'!S10</f>
        <v>4.609</v>
      </c>
      <c r="T10" s="103">
        <f>+'CES Gross Profit'!T10+'CIS Gross Profit'!T10</f>
        <v>4.4279999999999999</v>
      </c>
      <c r="U10" s="103">
        <f>+'CES Gross Profit'!U10+'CIS Gross Profit'!U10</f>
        <v>4.2699999999999996</v>
      </c>
      <c r="V10" s="103">
        <f>+'CES Gross Profit'!V10+'CIS Gross Profit'!V10</f>
        <v>5.5979999999999999</v>
      </c>
      <c r="W10" s="102"/>
      <c r="X10" s="103">
        <f>+'CES Gross Profit'!X10+'CIS Gross Profit'!X10</f>
        <v>18.905000000000001</v>
      </c>
      <c r="Y10" s="102"/>
      <c r="Z10" s="102"/>
    </row>
    <row r="11" spans="1:26" s="52" customFormat="1" ht="16.5" x14ac:dyDescent="0.25">
      <c r="A11" s="52" t="s">
        <v>197</v>
      </c>
      <c r="B11" s="103">
        <f>+'CES Gross Profit'!B11+'CIS Gross Profit'!B11</f>
        <v>8.5869999999999997</v>
      </c>
      <c r="C11" s="103">
        <f>+'CES Gross Profit'!C11+'CIS Gross Profit'!C11</f>
        <v>8.4480000000000004</v>
      </c>
      <c r="D11" s="102"/>
      <c r="E11" s="103">
        <f>+'CES Gross Profit'!E11+'CIS Gross Profit'!E11</f>
        <v>0.84600000000000009</v>
      </c>
      <c r="F11" s="103">
        <f>+'CES Gross Profit'!F11+'CIS Gross Profit'!F11</f>
        <v>1.9450000000000001</v>
      </c>
      <c r="G11" s="103">
        <f>+'CES Gross Profit'!G11+'CIS Gross Profit'!G11-0.01</f>
        <v>1.3510000000000002</v>
      </c>
      <c r="H11" s="103">
        <f>+'CES Gross Profit'!H11+'CIS Gross Profit'!H11</f>
        <v>1.577</v>
      </c>
      <c r="I11" s="102"/>
      <c r="J11" s="103">
        <f>+'CES Gross Profit'!J11+'CIS Gross Profit'!J11</f>
        <v>5.7349999999999994</v>
      </c>
      <c r="K11" s="102"/>
      <c r="L11" s="103">
        <f>+'CES Gross Profit'!L11+'CIS Gross Profit'!L11</f>
        <v>1.4040000000000001</v>
      </c>
      <c r="M11" s="103">
        <f>+'CES Gross Profit'!M11+'CIS Gross Profit'!M11</f>
        <v>2.0340000000000003</v>
      </c>
      <c r="N11" s="103">
        <f>+'CES Gross Profit'!N11+'CIS Gross Profit'!N11</f>
        <v>1.766</v>
      </c>
      <c r="O11" s="103">
        <f>+'CES Gross Profit'!O11+'CIS Gross Profit'!O11</f>
        <v>2.9800000000000004</v>
      </c>
      <c r="Q11" s="103">
        <f>+'CES Gross Profit'!Q11+'CIS Gross Profit'!Q11</f>
        <v>8.1839999999999993</v>
      </c>
      <c r="R11" s="102"/>
      <c r="S11" s="103">
        <f>+'CES Gross Profit'!S11+'CIS Gross Profit'!S11</f>
        <v>0.96699999999999997</v>
      </c>
      <c r="T11" s="103">
        <f>+'CES Gross Profit'!T11+'CIS Gross Profit'!T11</f>
        <v>1.738</v>
      </c>
      <c r="U11" s="103">
        <f>+'CES Gross Profit'!U11+'CIS Gross Profit'!U11</f>
        <v>2.3199999999999998</v>
      </c>
      <c r="V11" s="103">
        <f>+'CES Gross Profit'!V11+'CIS Gross Profit'!V11</f>
        <v>0.34900000000000003</v>
      </c>
      <c r="W11" s="102"/>
      <c r="X11" s="103">
        <f>+'CES Gross Profit'!X11+'CIS Gross Profit'!X11</f>
        <v>5.3740000000000006</v>
      </c>
      <c r="Y11" s="102"/>
      <c r="Z11" s="102"/>
    </row>
    <row r="12" spans="1:26" s="52" customFormat="1" ht="16.5" x14ac:dyDescent="0.25">
      <c r="A12" s="52" t="s">
        <v>198</v>
      </c>
      <c r="B12" s="104">
        <f>+'CES Gross Profit'!B12+'CIS Gross Profit'!B12</f>
        <v>15.233000000000001</v>
      </c>
      <c r="C12" s="104">
        <f>+'CES Gross Profit'!C12+'CIS Gross Profit'!C12</f>
        <v>11.652000000000001</v>
      </c>
      <c r="D12" s="105"/>
      <c r="E12" s="104">
        <f>+'CES Gross Profit'!E12+'CIS Gross Profit'!E12</f>
        <v>3.4189999999999996</v>
      </c>
      <c r="F12" s="104">
        <f>+'CES Gross Profit'!F12+'CIS Gross Profit'!F12</f>
        <v>2.6749999999999998</v>
      </c>
      <c r="G12" s="153">
        <f>+'CES Gross Profit'!G12+'CIS Gross Profit'!G12</f>
        <v>3.6539999999999999</v>
      </c>
      <c r="H12" s="153">
        <f>+'CES Gross Profit'!H12+'CIS Gross Profit'!H12-0.1</f>
        <v>3.1379999999999999</v>
      </c>
      <c r="I12" s="102"/>
      <c r="J12" s="104">
        <f>+'CES Gross Profit'!J12+'CIS Gross Profit'!J12</f>
        <v>12.971</v>
      </c>
      <c r="K12" s="102"/>
      <c r="L12" s="104">
        <f>+'CES Gross Profit'!L12+'CIS Gross Profit'!L12</f>
        <v>3.2619999999999996</v>
      </c>
      <c r="M12" s="104">
        <f>+'CES Gross Profit'!M12+'CIS Gross Profit'!M12</f>
        <v>4.5369999999999999</v>
      </c>
      <c r="N12" s="104">
        <f>+'CES Gross Profit'!N12+'CIS Gross Profit'!N12</f>
        <v>3.99</v>
      </c>
      <c r="O12" s="104">
        <f>+'CES Gross Profit'!O12+'CIS Gross Profit'!O12</f>
        <v>3.74</v>
      </c>
      <c r="Q12" s="104">
        <f>+'CES Gross Profit'!Q12+'CIS Gross Profit'!Q12</f>
        <v>15.529</v>
      </c>
      <c r="R12" s="102"/>
      <c r="S12" s="104">
        <f>+'CES Gross Profit'!S12+'CIS Gross Profit'!S12</f>
        <v>2.6150000000000002</v>
      </c>
      <c r="T12" s="104">
        <f>+'CES Gross Profit'!T12+'CIS Gross Profit'!T12</f>
        <v>2.7479999999999998</v>
      </c>
      <c r="U12" s="104">
        <f>+'CES Gross Profit'!U12+'CIS Gross Profit'!U12</f>
        <v>4.3499999999999996</v>
      </c>
      <c r="V12" s="104">
        <f>+'CES Gross Profit'!V12+'CIS Gross Profit'!V12</f>
        <v>3.1469999999999998</v>
      </c>
      <c r="W12" s="102"/>
      <c r="X12" s="104">
        <f>+'CES Gross Profit'!X12+'CIS Gross Profit'!X12</f>
        <v>12.86</v>
      </c>
      <c r="Y12" s="102"/>
      <c r="Z12" s="102"/>
    </row>
    <row r="13" spans="1:26" s="52" customFormat="1" ht="16.5" x14ac:dyDescent="0.25">
      <c r="A13" s="62" t="s">
        <v>33</v>
      </c>
      <c r="B13" s="68">
        <f>SUM(B8:B12)</f>
        <v>422.62900000000002</v>
      </c>
      <c r="C13" s="68">
        <f>SUM(C8:C12)</f>
        <v>446.78699999999998</v>
      </c>
      <c r="D13" s="106"/>
      <c r="E13" s="68">
        <f>SUM(E8:E12)</f>
        <v>114.09200000000001</v>
      </c>
      <c r="F13" s="68">
        <f>SUM(F8:F12)</f>
        <v>113.30699999999999</v>
      </c>
      <c r="G13" s="68">
        <f>SUM(G8:G12)</f>
        <v>111.28529999999999</v>
      </c>
      <c r="H13" s="68">
        <f>SUM(H8:H12)</f>
        <v>110.42699999999999</v>
      </c>
      <c r="I13" s="102"/>
      <c r="J13" s="68">
        <f>SUM(J8:J12)</f>
        <v>449.21300000000008</v>
      </c>
      <c r="K13" s="102"/>
      <c r="L13" s="68">
        <f>SUM(L8:L12)</f>
        <v>114.18799999999999</v>
      </c>
      <c r="M13" s="68">
        <f>SUM(M8:M12)</f>
        <v>116.43600000000002</v>
      </c>
      <c r="N13" s="68">
        <f>SUM(N8:N12)</f>
        <v>113.27200000000001</v>
      </c>
      <c r="O13" s="68">
        <f>SUM(O8:O12)</f>
        <v>119.86499999999999</v>
      </c>
      <c r="Q13" s="68">
        <f>SUM(Q8:Q12)</f>
        <v>463.76599999999996</v>
      </c>
      <c r="R13" s="102"/>
      <c r="S13" s="68">
        <f>SUM(S8:S12)</f>
        <v>102.32599999999998</v>
      </c>
      <c r="T13" s="68">
        <f>SUM(T8:T12)</f>
        <v>98.09899999999999</v>
      </c>
      <c r="U13" s="68">
        <f>SUM(U8:U12)</f>
        <v>103.20299999999999</v>
      </c>
      <c r="V13" s="68">
        <f>SUM(V8:V12)</f>
        <v>111.96600000000001</v>
      </c>
      <c r="W13" s="102"/>
      <c r="X13" s="68">
        <f>SUM(X8:X12)</f>
        <v>415.59400000000005</v>
      </c>
      <c r="Y13" s="102"/>
      <c r="Z13" s="102"/>
    </row>
    <row r="14" spans="1:26" s="52" customFormat="1" ht="16.5" x14ac:dyDescent="0.25">
      <c r="B14" s="103"/>
      <c r="C14" s="103"/>
      <c r="D14" s="102"/>
      <c r="E14" s="103"/>
      <c r="F14" s="103"/>
      <c r="G14" s="103"/>
      <c r="H14" s="103"/>
      <c r="I14" s="102"/>
      <c r="J14" s="103"/>
      <c r="K14" s="102"/>
      <c r="L14" s="103"/>
      <c r="M14" s="103"/>
      <c r="N14" s="103"/>
      <c r="O14" s="103"/>
      <c r="Q14" s="103"/>
      <c r="R14" s="102"/>
      <c r="S14" s="103"/>
      <c r="T14" s="103"/>
      <c r="U14" s="103"/>
      <c r="V14" s="103"/>
      <c r="W14" s="102"/>
      <c r="X14" s="103"/>
      <c r="Y14" s="102"/>
      <c r="Z14" s="102"/>
    </row>
    <row r="15" spans="1:26" s="52" customFormat="1" ht="16.5" x14ac:dyDescent="0.25">
      <c r="A15" s="62" t="s">
        <v>8</v>
      </c>
      <c r="B15" s="89">
        <f>+B6-B13</f>
        <v>639.47699999999998</v>
      </c>
      <c r="C15" s="89">
        <f>+C6-C13</f>
        <v>688.41299999999978</v>
      </c>
      <c r="D15" s="102"/>
      <c r="E15" s="89">
        <f>+E6-E13</f>
        <v>175.06399999999999</v>
      </c>
      <c r="F15" s="89">
        <f>+F6-F13</f>
        <v>193.02</v>
      </c>
      <c r="G15" s="89">
        <f>+G6-G13</f>
        <v>192.6977</v>
      </c>
      <c r="H15" s="89">
        <f>+H6-H13</f>
        <v>219.74600000000001</v>
      </c>
      <c r="I15" s="102"/>
      <c r="J15" s="89">
        <f>+J6-J13</f>
        <v>780.47399999999982</v>
      </c>
      <c r="K15" s="102"/>
      <c r="L15" s="89">
        <f>+L6-L13</f>
        <v>201.07100000000003</v>
      </c>
      <c r="M15" s="89">
        <f>+M6-M13</f>
        <v>207.86899999999997</v>
      </c>
      <c r="N15" s="89">
        <f>+N6-N13</f>
        <v>211.59500000000003</v>
      </c>
      <c r="O15" s="89">
        <f>+O6-O13</f>
        <v>219.33799999999997</v>
      </c>
      <c r="Q15" s="89">
        <f>+Q6-Q13</f>
        <v>839.86800000000005</v>
      </c>
      <c r="R15" s="102"/>
      <c r="S15" s="89">
        <f>+S6-S13</f>
        <v>184.96900000000005</v>
      </c>
      <c r="T15" s="89">
        <f>+T6-T13</f>
        <v>211.01000000000005</v>
      </c>
      <c r="U15" s="89">
        <f>+U6-U13</f>
        <v>224.99799999999999</v>
      </c>
      <c r="V15" s="89">
        <f>+V6-V13</f>
        <v>237.13400000000001</v>
      </c>
      <c r="W15" s="102"/>
      <c r="X15" s="89">
        <f>+X6-X13</f>
        <v>858.11099999999988</v>
      </c>
      <c r="Y15" s="102"/>
      <c r="Z15" s="102"/>
    </row>
    <row r="16" spans="1:26" s="52" customFormat="1" ht="16.5" x14ac:dyDescent="0.25">
      <c r="A16" s="62" t="s">
        <v>9</v>
      </c>
      <c r="B16" s="107">
        <v>0.60199999999999998</v>
      </c>
      <c r="C16" s="107">
        <v>0.60599999999999998</v>
      </c>
      <c r="D16" s="102"/>
      <c r="E16" s="107">
        <v>0.60599999999999998</v>
      </c>
      <c r="F16" s="107">
        <v>0.63</v>
      </c>
      <c r="G16" s="107">
        <v>0.63400000000000001</v>
      </c>
      <c r="H16" s="107">
        <v>0.66500000000000004</v>
      </c>
      <c r="I16" s="102"/>
      <c r="J16" s="107">
        <v>0.63500000000000001</v>
      </c>
      <c r="K16" s="102"/>
      <c r="L16" s="107">
        <v>0.63800000000000001</v>
      </c>
      <c r="M16" s="107">
        <v>0.64100000000000001</v>
      </c>
      <c r="N16" s="107">
        <v>0.65100000000000002</v>
      </c>
      <c r="O16" s="107">
        <v>0.64700000000000002</v>
      </c>
      <c r="Q16" s="107">
        <v>0.64400000000000002</v>
      </c>
      <c r="R16" s="102"/>
      <c r="S16" s="107">
        <v>0.64400000000000002</v>
      </c>
      <c r="T16" s="107">
        <v>0.68300000000000005</v>
      </c>
      <c r="U16" s="107">
        <v>0.68600000000000005</v>
      </c>
      <c r="V16" s="107">
        <v>0.67900000000000005</v>
      </c>
      <c r="W16" s="102"/>
      <c r="X16" s="107">
        <v>0.67400000000000004</v>
      </c>
      <c r="Y16" s="102"/>
      <c r="Z16" s="102"/>
    </row>
    <row r="17" spans="1:26" s="52" customFormat="1" ht="16.5" x14ac:dyDescent="0.25">
      <c r="A17" s="52" t="s">
        <v>42</v>
      </c>
      <c r="B17" s="108">
        <f>+'CES Gross Profit'!B17+'CIS Gross Profit'!B17</f>
        <v>10.59</v>
      </c>
      <c r="C17" s="108">
        <f>+'CES Gross Profit'!C17+'CIS Gross Profit'!C17</f>
        <v>15.3</v>
      </c>
      <c r="D17" s="102"/>
      <c r="E17" s="108">
        <f>+'CES Gross Profit'!E17+'CIS Gross Profit'!E17</f>
        <v>2.8000000000000003</v>
      </c>
      <c r="F17" s="108">
        <f>+'CES Gross Profit'!F17+'CIS Gross Profit'!F17</f>
        <v>2.2000000000000002</v>
      </c>
      <c r="G17" s="108">
        <f>+'CES Gross Profit'!G17+'CIS Gross Profit'!G17</f>
        <v>4</v>
      </c>
      <c r="H17" s="108">
        <f>+'CES Gross Profit'!H17+'CIS Gross Profit'!H17</f>
        <v>6.5</v>
      </c>
      <c r="I17" s="102"/>
      <c r="J17" s="108">
        <f>+'CES Gross Profit'!J17+'CIS Gross Profit'!J17</f>
        <v>15.4</v>
      </c>
      <c r="K17" s="102"/>
      <c r="L17" s="108">
        <f>+'CES Gross Profit'!L17+'CIS Gross Profit'!L17</f>
        <v>8.9</v>
      </c>
      <c r="M17" s="108">
        <f>+'CES Gross Profit'!M17+'CIS Gross Profit'!M17</f>
        <v>7</v>
      </c>
      <c r="N17" s="108">
        <f>+'CES Gross Profit'!N17+'CIS Gross Profit'!N17</f>
        <v>6.2130000000000001</v>
      </c>
      <c r="O17" s="108">
        <f>+'CES Gross Profit'!O17+'CIS Gross Profit'!O17</f>
        <v>10.259</v>
      </c>
      <c r="Q17" s="108">
        <f>+'CES Gross Profit'!Q17+'CIS Gross Profit'!Q17</f>
        <v>32.383000000000003</v>
      </c>
      <c r="R17" s="102"/>
      <c r="S17" s="108">
        <f>+'CES Gross Profit'!S17+'CIS Gross Profit'!S17</f>
        <v>4.3540000000000063</v>
      </c>
      <c r="T17" s="108">
        <f>+'CES Gross Profit'!T17+'CIS Gross Profit'!T17</f>
        <v>4.304000000000002</v>
      </c>
      <c r="U17" s="108">
        <f>+'CES Gross Profit'!U17+'CIS Gross Profit'!U17</f>
        <v>2.9189999999999969</v>
      </c>
      <c r="V17" s="108">
        <f>+'CES Gross Profit'!V17+'CIS Gross Profit'!V17</f>
        <v>2.328000000000003</v>
      </c>
      <c r="W17" s="102"/>
      <c r="X17" s="108">
        <f>+'CES Gross Profit'!X17+'CIS Gross Profit'!X17</f>
        <v>13.905000000000008</v>
      </c>
      <c r="Y17" s="102"/>
      <c r="Z17" s="102"/>
    </row>
    <row r="18" spans="1:26" s="52" customFormat="1" ht="16.5" x14ac:dyDescent="0.25">
      <c r="A18" s="52" t="s">
        <v>27</v>
      </c>
      <c r="B18" s="103">
        <f>+'CES Gross Profit'!B18+'CIS Gross Profit'!B18</f>
        <v>37.372</v>
      </c>
      <c r="C18" s="103">
        <f>+'CES Gross Profit'!C18+'CIS Gross Profit'!C18</f>
        <v>38.200000000000003</v>
      </c>
      <c r="D18" s="102"/>
      <c r="E18" s="103">
        <f>+'CES Gross Profit'!E18+'CIS Gross Profit'!E18</f>
        <v>7.4</v>
      </c>
      <c r="F18" s="103">
        <f>+'CES Gross Profit'!F18+'CIS Gross Profit'!F18</f>
        <v>5.5</v>
      </c>
      <c r="G18" s="103">
        <f>+'CES Gross Profit'!G18+'CIS Gross Profit'!G18</f>
        <v>5.9</v>
      </c>
      <c r="H18" s="103">
        <f>+'CES Gross Profit'!H18+'CIS Gross Profit'!H18</f>
        <v>6.5</v>
      </c>
      <c r="I18" s="102"/>
      <c r="J18" s="103">
        <f>+'CES Gross Profit'!J18+'CIS Gross Profit'!J18</f>
        <v>25.4</v>
      </c>
      <c r="K18" s="102"/>
      <c r="L18" s="103">
        <f>+'CES Gross Profit'!L18+'CIS Gross Profit'!L18</f>
        <v>6.7</v>
      </c>
      <c r="M18" s="103">
        <f>+'CES Gross Profit'!M18+'CIS Gross Profit'!M18</f>
        <v>5.6000000000000005</v>
      </c>
      <c r="N18" s="103">
        <f>+'CES Gross Profit'!N18+'CIS Gross Profit'!N18</f>
        <v>5.968</v>
      </c>
      <c r="O18" s="103">
        <f>+'CES Gross Profit'!O18+'CIS Gross Profit'!O18</f>
        <v>5.7219999999999995</v>
      </c>
      <c r="Q18" s="103">
        <f>+'CES Gross Profit'!Q18+'CIS Gross Profit'!Q18</f>
        <v>23.983999999999998</v>
      </c>
      <c r="R18" s="102"/>
      <c r="S18" s="103">
        <f>+'CES Gross Profit'!S18+'CIS Gross Profit'!S18</f>
        <v>4.609</v>
      </c>
      <c r="T18" s="103">
        <f>+'CES Gross Profit'!T18+'CIS Gross Profit'!T18</f>
        <v>4.4279999999999999</v>
      </c>
      <c r="U18" s="103">
        <f>+'CES Gross Profit'!U18+'CIS Gross Profit'!U18</f>
        <v>4.2699999999999996</v>
      </c>
      <c r="V18" s="103">
        <f>+'CES Gross Profit'!V18+'CIS Gross Profit'!V18</f>
        <v>5.5979999999999999</v>
      </c>
      <c r="W18" s="102"/>
      <c r="X18" s="103">
        <f>+'CES Gross Profit'!X18+'CIS Gross Profit'!X18</f>
        <v>18.905000000000001</v>
      </c>
      <c r="Y18" s="102"/>
      <c r="Z18" s="102"/>
    </row>
    <row r="19" spans="1:26" s="52" customFormat="1" ht="16.5" x14ac:dyDescent="0.25">
      <c r="A19" s="52" t="s">
        <v>197</v>
      </c>
      <c r="B19" s="103">
        <f>+'CES Gross Profit'!B19+'CIS Gross Profit'!B19</f>
        <v>8.5869999999999997</v>
      </c>
      <c r="C19" s="103">
        <f>+'CES Gross Profit'!C19+'CIS Gross Profit'!C19</f>
        <v>8.5</v>
      </c>
      <c r="D19" s="102"/>
      <c r="E19" s="103">
        <f>+'CES Gross Profit'!E19+'CIS Gross Profit'!E19</f>
        <v>0.8</v>
      </c>
      <c r="F19" s="103">
        <f>+'CES Gross Profit'!F19+'CIS Gross Profit'!F19</f>
        <v>1.9000000000000001</v>
      </c>
      <c r="G19" s="103">
        <f>+'CES Gross Profit'!G19+'CIS Gross Profit'!G19</f>
        <v>1.4000000000000001</v>
      </c>
      <c r="H19" s="103">
        <f>+'CES Gross Profit'!H19+'CIS Gross Profit'!H19</f>
        <v>1.6</v>
      </c>
      <c r="I19" s="102"/>
      <c r="J19" s="103">
        <f>+'CES Gross Profit'!J19+'CIS Gross Profit'!J19</f>
        <v>5.7</v>
      </c>
      <c r="K19" s="102"/>
      <c r="L19" s="103">
        <f>+'CES Gross Profit'!L19+'CIS Gross Profit'!L19</f>
        <v>1.4000000000000001</v>
      </c>
      <c r="M19" s="103">
        <f>+'CES Gross Profit'!M19+'CIS Gross Profit'!M19</f>
        <v>2</v>
      </c>
      <c r="N19" s="103">
        <f>+'CES Gross Profit'!N19+'CIS Gross Profit'!N19</f>
        <v>1.766</v>
      </c>
      <c r="O19" s="103">
        <f>+'CES Gross Profit'!O19+'CIS Gross Profit'!O19</f>
        <v>2.9800000000000004</v>
      </c>
      <c r="Q19" s="103">
        <f>+'CES Gross Profit'!Q19+'CIS Gross Profit'!Q19</f>
        <v>8.1839999999999993</v>
      </c>
      <c r="R19" s="102"/>
      <c r="S19" s="103">
        <f>+'CES Gross Profit'!S19+'CIS Gross Profit'!S19</f>
        <v>0.96699999999999997</v>
      </c>
      <c r="T19" s="103">
        <f>+'CES Gross Profit'!T19+'CIS Gross Profit'!T19</f>
        <v>1.738</v>
      </c>
      <c r="U19" s="103">
        <f>+'CES Gross Profit'!U19+'CIS Gross Profit'!U19</f>
        <v>2.3199999999999998</v>
      </c>
      <c r="V19" s="103">
        <f>+'CES Gross Profit'!V19+'CIS Gross Profit'!V19</f>
        <v>0.34900000000000003</v>
      </c>
      <c r="W19" s="102"/>
      <c r="X19" s="103">
        <f>+'CES Gross Profit'!X19+'CIS Gross Profit'!X19</f>
        <v>5.3740000000000006</v>
      </c>
      <c r="Y19" s="102"/>
      <c r="Z19" s="102"/>
    </row>
    <row r="20" spans="1:26" s="52" customFormat="1" ht="16.5" x14ac:dyDescent="0.25">
      <c r="A20" s="52" t="s">
        <v>199</v>
      </c>
      <c r="B20" s="108">
        <f>+'CES Gross Profit'!B20+'CIS Gross Profit'!B20</f>
        <v>0</v>
      </c>
      <c r="C20" s="108">
        <f>+'CES Gross Profit'!C20+'CIS Gross Profit'!C20</f>
        <v>0.1</v>
      </c>
      <c r="D20" s="102"/>
      <c r="E20" s="108">
        <f>+'CES Gross Profit'!E20+'CIS Gross Profit'!E20</f>
        <v>0</v>
      </c>
      <c r="F20" s="108">
        <f>+'CES Gross Profit'!F20+'CIS Gross Profit'!F20</f>
        <v>0</v>
      </c>
      <c r="G20" s="108">
        <f>+'CES Gross Profit'!G20+'CIS Gross Profit'!G20</f>
        <v>0</v>
      </c>
      <c r="H20" s="108">
        <f>+'CES Gross Profit'!H20+'CIS Gross Profit'!H20</f>
        <v>0.30000000000000004</v>
      </c>
      <c r="I20" s="102"/>
      <c r="J20" s="108">
        <f>+'CES Gross Profit'!J20+'CIS Gross Profit'!J20</f>
        <v>0.4</v>
      </c>
      <c r="K20" s="102"/>
      <c r="L20" s="108">
        <f>+'CES Gross Profit'!L20+'CIS Gross Profit'!L20</f>
        <v>0</v>
      </c>
      <c r="M20" s="108">
        <f>+'CES Gross Profit'!M20+'CIS Gross Profit'!M20</f>
        <v>0</v>
      </c>
      <c r="N20" s="108">
        <f>+'CES Gross Profit'!N20+'CIS Gross Profit'!N20</f>
        <v>4.3999999999999997E-2</v>
      </c>
      <c r="O20" s="108">
        <f>+'CES Gross Profit'!O20+'CIS Gross Profit'!O20</f>
        <v>5.7999999999999996E-2</v>
      </c>
      <c r="Q20" s="108">
        <f>+'CES Gross Profit'!Q20+'CIS Gross Profit'!Q20</f>
        <v>0.124</v>
      </c>
      <c r="R20" s="102"/>
      <c r="S20" s="108">
        <f>+'CES Gross Profit'!S20+'CIS Gross Profit'!S20</f>
        <v>0.189</v>
      </c>
      <c r="T20" s="108">
        <f>+'CES Gross Profit'!T20+'CIS Gross Profit'!T20</f>
        <v>5.3000000000000005E-2</v>
      </c>
      <c r="U20" s="108">
        <f>+'CES Gross Profit'!U20+'CIS Gross Profit'!U20</f>
        <v>9.1999999999999998E-2</v>
      </c>
      <c r="V20" s="108">
        <f>+'CES Gross Profit'!V20+'CIS Gross Profit'!V20</f>
        <v>1.8000000000000002E-2</v>
      </c>
      <c r="W20" s="102"/>
      <c r="X20" s="108">
        <f>+'CES Gross Profit'!X20+'CIS Gross Profit'!X20</f>
        <v>0.35200000000000004</v>
      </c>
      <c r="Y20" s="102"/>
      <c r="Z20" s="102"/>
    </row>
    <row r="21" spans="1:26" s="47" customFormat="1" ht="16.5" x14ac:dyDescent="0.25">
      <c r="A21" s="47" t="s">
        <v>200</v>
      </c>
      <c r="B21" s="121">
        <f>+'CES Gross Profit'!B21+'CIS Gross Profit'!B21</f>
        <v>2.2889999999999997</v>
      </c>
      <c r="C21" s="121">
        <f>+'CES Gross Profit'!C21+'CIS Gross Profit'!C21</f>
        <v>2.2000000000000002</v>
      </c>
      <c r="D21" s="105"/>
      <c r="E21" s="121">
        <f>+'CES Gross Profit'!E21+'CIS Gross Profit'!E21</f>
        <v>0.4</v>
      </c>
      <c r="F21" s="121">
        <f>+'CES Gross Profit'!F21+'CIS Gross Profit'!F21</f>
        <v>0.7</v>
      </c>
      <c r="G21" s="121">
        <f>+'CES Gross Profit'!G21+'CIS Gross Profit'!G21</f>
        <v>0.1</v>
      </c>
      <c r="H21" s="121">
        <f>+'CES Gross Profit'!H21+'CIS Gross Profit'!H21</f>
        <v>0.30000000000000004</v>
      </c>
      <c r="I21" s="297"/>
      <c r="J21" s="121">
        <f>+'CES Gross Profit'!J21+'CIS Gross Profit'!J21</f>
        <v>1.5</v>
      </c>
      <c r="K21" s="297"/>
      <c r="L21" s="121">
        <f>+'CES Gross Profit'!L21+'CIS Gross Profit'!L21</f>
        <v>0.5</v>
      </c>
      <c r="M21" s="121">
        <f>+'CES Gross Profit'!M21+'CIS Gross Profit'!M21</f>
        <v>1.1000000000000001</v>
      </c>
      <c r="N21" s="121">
        <f>+'CES Gross Profit'!N21+'CIS Gross Profit'!N21</f>
        <v>0.65900000000000003</v>
      </c>
      <c r="O21" s="121">
        <f>+'CES Gross Profit'!O21+'CIS Gross Profit'!O21</f>
        <v>0.36</v>
      </c>
      <c r="Q21" s="121">
        <f>+'CES Gross Profit'!Q21+'CIS Gross Profit'!Q21</f>
        <v>2.5209999999999999</v>
      </c>
      <c r="R21" s="297"/>
      <c r="S21" s="121">
        <f>+'CES Gross Profit'!S21+'CIS Gross Profit'!S21</f>
        <v>1.6160000000000001</v>
      </c>
      <c r="T21" s="121">
        <f>+'CES Gross Profit'!T21+'CIS Gross Profit'!T21</f>
        <v>-5.8999999999999997E-2</v>
      </c>
      <c r="U21" s="121">
        <f>+'CES Gross Profit'!U21+'CIS Gross Profit'!U21</f>
        <v>0.20100000000000001</v>
      </c>
      <c r="V21" s="121">
        <f>+'CES Gross Profit'!V21+'CIS Gross Profit'!V21</f>
        <v>0.43099999999999994</v>
      </c>
      <c r="W21" s="297"/>
      <c r="X21" s="121">
        <f>+'CES Gross Profit'!X21+'CIS Gross Profit'!X21</f>
        <v>2.1890000000000001</v>
      </c>
      <c r="Y21" s="297"/>
      <c r="Z21" s="297"/>
    </row>
    <row r="22" spans="1:26" s="52" customFormat="1" ht="16.5" x14ac:dyDescent="0.25">
      <c r="A22" s="52" t="s">
        <v>342</v>
      </c>
      <c r="B22" s="121">
        <f>+'CES Gross Profit'!B22+'CIS Gross Profit'!B22</f>
        <v>0</v>
      </c>
      <c r="C22" s="121">
        <f>+'CES Gross Profit'!C22+'CIS Gross Profit'!C22</f>
        <v>0</v>
      </c>
      <c r="D22" s="105"/>
      <c r="E22" s="121">
        <f>+'CES Gross Profit'!E22+'CIS Gross Profit'!E22</f>
        <v>0</v>
      </c>
      <c r="F22" s="121">
        <f>+'CES Gross Profit'!F22+'CIS Gross Profit'!F22</f>
        <v>0</v>
      </c>
      <c r="G22" s="121">
        <f>+'CES Gross Profit'!G22+'CIS Gross Profit'!G22</f>
        <v>0</v>
      </c>
      <c r="H22" s="121">
        <f>+'CES Gross Profit'!H22+'CIS Gross Profit'!H22</f>
        <v>0</v>
      </c>
      <c r="I22" s="297"/>
      <c r="J22" s="121">
        <f>+'CES Gross Profit'!J22+'CIS Gross Profit'!J22</f>
        <v>0</v>
      </c>
      <c r="K22" s="297"/>
      <c r="L22" s="121">
        <f>+'CES Gross Profit'!L22+'CIS Gross Profit'!L22</f>
        <v>0</v>
      </c>
      <c r="M22" s="121">
        <f>+'CES Gross Profit'!M22+'CIS Gross Profit'!M22</f>
        <v>0</v>
      </c>
      <c r="N22" s="121">
        <f>+'CES Gross Profit'!N22+'CIS Gross Profit'!N22</f>
        <v>0</v>
      </c>
      <c r="O22" s="121">
        <f>+'CES Gross Profit'!O22+'CIS Gross Profit'!O22</f>
        <v>0</v>
      </c>
      <c r="P22" s="47"/>
      <c r="Q22" s="121">
        <f>+'CES Gross Profit'!Q22+'CIS Gross Profit'!Q22</f>
        <v>0</v>
      </c>
      <c r="R22" s="297"/>
      <c r="S22" s="121">
        <f>+'CES Gross Profit'!S22+'CIS Gross Profit'!S22</f>
        <v>0</v>
      </c>
      <c r="T22" s="121">
        <f>+'CES Gross Profit'!T22+'CIS Gross Profit'!T22</f>
        <v>0</v>
      </c>
      <c r="U22" s="121">
        <f>+'CES Gross Profit'!U22+'CIS Gross Profit'!U22</f>
        <v>7.8E-2</v>
      </c>
      <c r="V22" s="121">
        <f>+'CES Gross Profit'!V22+'CIS Gross Profit'!V22</f>
        <v>0.05</v>
      </c>
      <c r="W22" s="297"/>
      <c r="X22" s="121">
        <f>+'CES Gross Profit'!X22+'CIS Gross Profit'!X22</f>
        <v>0.128</v>
      </c>
      <c r="Y22" s="102"/>
      <c r="Z22" s="102"/>
    </row>
    <row r="23" spans="1:26" s="52" customFormat="1" ht="16.5" x14ac:dyDescent="0.25">
      <c r="A23" s="52" t="s">
        <v>343</v>
      </c>
      <c r="B23" s="104">
        <f>+'CES Gross Profit'!B23+'CIS Gross Profit'!B23</f>
        <v>0</v>
      </c>
      <c r="C23" s="104">
        <f>+'CES Gross Profit'!C23+'CIS Gross Profit'!C23</f>
        <v>0</v>
      </c>
      <c r="D23" s="105"/>
      <c r="E23" s="104">
        <f>+'CES Gross Profit'!E23+'CIS Gross Profit'!E23</f>
        <v>0</v>
      </c>
      <c r="F23" s="104">
        <f>+'CES Gross Profit'!F23+'CIS Gross Profit'!F23</f>
        <v>0</v>
      </c>
      <c r="G23" s="104">
        <f>+'CES Gross Profit'!G23+'CIS Gross Profit'!G23</f>
        <v>0</v>
      </c>
      <c r="H23" s="104">
        <f>+'CES Gross Profit'!H23+'CIS Gross Profit'!H23</f>
        <v>0</v>
      </c>
      <c r="I23" s="102"/>
      <c r="J23" s="104">
        <f>+'CES Gross Profit'!J23+'CIS Gross Profit'!J23</f>
        <v>0</v>
      </c>
      <c r="K23" s="102"/>
      <c r="L23" s="104">
        <f>+'CES Gross Profit'!L23+'CIS Gross Profit'!L23</f>
        <v>0</v>
      </c>
      <c r="M23" s="104">
        <f>+'CES Gross Profit'!M23+'CIS Gross Profit'!M23</f>
        <v>0</v>
      </c>
      <c r="N23" s="104">
        <f>+'CES Gross Profit'!N23+'CIS Gross Profit'!N23</f>
        <v>0</v>
      </c>
      <c r="O23" s="104">
        <f>+'CES Gross Profit'!O23+'CIS Gross Profit'!O23</f>
        <v>0</v>
      </c>
      <c r="Q23" s="104">
        <f>+'CES Gross Profit'!Q23+'CIS Gross Profit'!Q23</f>
        <v>0</v>
      </c>
      <c r="R23" s="102"/>
      <c r="S23" s="104">
        <f>+'CES Gross Profit'!S23+'CIS Gross Profit'!S23</f>
        <v>0</v>
      </c>
      <c r="T23" s="104">
        <f>+'CES Gross Profit'!T23+'CIS Gross Profit'!T23</f>
        <v>0</v>
      </c>
      <c r="U23" s="104">
        <f>+'CES Gross Profit'!U23+'CIS Gross Profit'!U23</f>
        <v>0.14500000000000002</v>
      </c>
      <c r="V23" s="104">
        <f>+'CES Gross Profit'!V23+'CIS Gross Profit'!V23</f>
        <v>0.35699999999999998</v>
      </c>
      <c r="W23" s="102"/>
      <c r="X23" s="104">
        <f>+'CES Gross Profit'!X23+'CIS Gross Profit'!X23</f>
        <v>0.502</v>
      </c>
      <c r="Y23" s="102"/>
      <c r="Z23" s="102"/>
    </row>
    <row r="24" spans="1:26" s="52" customFormat="1" ht="16.5" x14ac:dyDescent="0.25">
      <c r="A24" s="62" t="s">
        <v>226</v>
      </c>
      <c r="B24" s="68">
        <f>SUM(B17:B23)+B15</f>
        <v>698.31499999999994</v>
      </c>
      <c r="C24" s="68">
        <f>SUM(C17:C23)+C15</f>
        <v>752.71299999999974</v>
      </c>
      <c r="D24" s="106"/>
      <c r="E24" s="68">
        <f>SUM(E17:E23)+E15</f>
        <v>186.464</v>
      </c>
      <c r="F24" s="68">
        <f>SUM(F17:F23)+F15</f>
        <v>203.32000000000002</v>
      </c>
      <c r="G24" s="68">
        <f>SUM(G17:G23)+G15</f>
        <v>204.0977</v>
      </c>
      <c r="H24" s="68">
        <f>SUM(H17:H23)+H15</f>
        <v>234.946</v>
      </c>
      <c r="I24" s="102"/>
      <c r="J24" s="68">
        <f>SUM(J17:J23)+J15</f>
        <v>828.8739999999998</v>
      </c>
      <c r="K24" s="102"/>
      <c r="L24" s="68">
        <f>SUM(L17:L23)+L15</f>
        <v>218.57100000000003</v>
      </c>
      <c r="M24" s="68">
        <f>SUM(M17:M23)+M15</f>
        <v>223.56899999999996</v>
      </c>
      <c r="N24" s="68">
        <f>SUM(N17:N23)+N15</f>
        <v>226.24500000000003</v>
      </c>
      <c r="O24" s="68">
        <f>SUM(O17:O23)+O15</f>
        <v>238.71699999999996</v>
      </c>
      <c r="Q24" s="68">
        <f>SUM(Q17:Q23)+Q15</f>
        <v>907.06400000000008</v>
      </c>
      <c r="R24" s="102"/>
      <c r="S24" s="68">
        <f>SUM(S17:S23)+S15</f>
        <v>196.70400000000006</v>
      </c>
      <c r="T24" s="68">
        <f>SUM(T17:T23)+T15</f>
        <v>221.47400000000005</v>
      </c>
      <c r="U24" s="68">
        <f>SUM(U17:U23)+U15</f>
        <v>235.023</v>
      </c>
      <c r="V24" s="68">
        <f>SUM(V17:V23)+V15</f>
        <v>246.26500000000001</v>
      </c>
      <c r="W24" s="102"/>
      <c r="X24" s="68">
        <f>SUM(X17:X23)+X15</f>
        <v>899.46599999999989</v>
      </c>
      <c r="Y24" s="102"/>
      <c r="Z24" s="102"/>
    </row>
    <row r="25" spans="1:26" s="52" customFormat="1" ht="16.5" x14ac:dyDescent="0.25">
      <c r="A25" s="62" t="s">
        <v>225</v>
      </c>
      <c r="B25" s="109">
        <v>0.65100000000000002</v>
      </c>
      <c r="C25" s="109">
        <v>0.65400000000000003</v>
      </c>
      <c r="D25" s="102"/>
      <c r="E25" s="109">
        <v>0.63900000000000001</v>
      </c>
      <c r="F25" s="109">
        <v>0.65900000000000003</v>
      </c>
      <c r="G25" s="109">
        <v>0.66300000000000003</v>
      </c>
      <c r="H25" s="109">
        <v>0.69799999999999995</v>
      </c>
      <c r="I25" s="102"/>
      <c r="J25" s="109">
        <v>0.66600000000000004</v>
      </c>
      <c r="K25" s="102"/>
      <c r="L25" s="109">
        <v>0.67400000000000004</v>
      </c>
      <c r="M25" s="109">
        <v>0.67500000000000004</v>
      </c>
      <c r="N25" s="109">
        <v>0.68300000000000005</v>
      </c>
      <c r="O25" s="109">
        <v>0.68300000000000005</v>
      </c>
      <c r="Q25" s="109">
        <v>0.67900000000000005</v>
      </c>
      <c r="R25" s="102"/>
      <c r="S25" s="109">
        <v>0.67400000000000004</v>
      </c>
      <c r="T25" s="109">
        <v>0.70699999999999996</v>
      </c>
      <c r="U25" s="109">
        <v>0.71</v>
      </c>
      <c r="V25" s="109">
        <v>0.70099999999999996</v>
      </c>
      <c r="W25" s="102"/>
      <c r="X25" s="109">
        <v>0.69899999999999995</v>
      </c>
      <c r="Y25" s="102"/>
      <c r="Z25" s="102"/>
    </row>
    <row r="26" spans="1:26" x14ac:dyDescent="0.2">
      <c r="P26" s="3"/>
    </row>
  </sheetData>
  <mergeCells count="3">
    <mergeCell ref="E3:H3"/>
    <mergeCell ref="L3:O3"/>
    <mergeCell ref="S3:V3"/>
  </mergeCells>
  <pageMargins left="0.25" right="0.25" top="0.75" bottom="0.75" header="0.3" footer="0.3"/>
  <pageSetup scale="4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0000FF"/>
    <pageSetUpPr fitToPage="1"/>
  </sheetPr>
  <dimension ref="A1:AA28"/>
  <sheetViews>
    <sheetView zoomScale="65" zoomScaleNormal="65" zoomScaleSheetLayoutView="85" workbookViewId="0">
      <pane xSplit="1" ySplit="4" topLeftCell="B5" activePane="bottomRight" state="frozen"/>
      <selection activeCell="A30" sqref="A30"/>
      <selection pane="topRight" activeCell="A30" sqref="A30"/>
      <selection pane="bottomLeft" activeCell="A30" sqref="A30"/>
      <selection pane="bottomRight" activeCell="B5" sqref="B5"/>
    </sheetView>
  </sheetViews>
  <sheetFormatPr defaultColWidth="9.140625" defaultRowHeight="11.25" outlineLevelCol="2" x14ac:dyDescent="0.2"/>
  <cols>
    <col min="1" max="1" width="83" style="13" customWidth="1"/>
    <col min="2" max="3" width="20.7109375" style="13" customWidth="1" outlineLevel="1"/>
    <col min="4" max="4" width="1.140625" style="3" hidden="1" customWidth="1" outlineLevel="2"/>
    <col min="5" max="8" width="20.7109375" style="13" hidden="1" customWidth="1" outlineLevel="2"/>
    <col min="9" max="9" width="1.140625" style="3" hidden="1" customWidth="1" outlineLevel="2"/>
    <col min="10" max="10" width="20.7109375" style="13" customWidth="1" outlineLevel="1" collapsed="1"/>
    <col min="11" max="11" width="1.140625" style="3" customWidth="1"/>
    <col min="12" max="15" width="20.7109375" style="13" customWidth="1" outlineLevel="1"/>
    <col min="16" max="16" width="1.140625" style="3" customWidth="1"/>
    <col min="17" max="17" width="20.42578125" style="13" customWidth="1"/>
    <col min="18" max="18" width="2.42578125" style="13" customWidth="1"/>
    <col min="19" max="22" width="20.7109375" style="13" customWidth="1"/>
    <col min="23" max="23" width="2" style="3" customWidth="1"/>
    <col min="24" max="24" width="20.42578125" style="13" customWidth="1"/>
    <col min="25" max="26" width="14.85546875" style="13" customWidth="1"/>
    <col min="27" max="27" width="3.85546875" style="13" customWidth="1"/>
    <col min="28" max="28" width="9.28515625" style="3" bestFit="1" customWidth="1"/>
    <col min="29" max="16384" width="9.140625" style="3"/>
  </cols>
  <sheetData>
    <row r="1" spans="1:27" ht="18" x14ac:dyDescent="0.25">
      <c r="A1" s="198" t="s">
        <v>242</v>
      </c>
      <c r="D1" s="24"/>
      <c r="I1" s="24"/>
      <c r="K1" s="24"/>
      <c r="P1" s="24"/>
    </row>
    <row r="2" spans="1:27" x14ac:dyDescent="0.2">
      <c r="A2" s="11"/>
      <c r="B2" s="11"/>
      <c r="C2" s="12"/>
      <c r="D2" s="1"/>
      <c r="I2" s="1"/>
      <c r="K2" s="1"/>
      <c r="P2" s="1"/>
    </row>
    <row r="3" spans="1:27" s="24" customFormat="1" ht="30" customHeight="1" x14ac:dyDescent="0.25">
      <c r="A3" s="83"/>
      <c r="B3" s="98" t="s">
        <v>31</v>
      </c>
      <c r="C3" s="226" t="s">
        <v>31</v>
      </c>
      <c r="D3" s="79"/>
      <c r="E3" s="354" t="s">
        <v>1</v>
      </c>
      <c r="F3" s="354"/>
      <c r="G3" s="354"/>
      <c r="H3" s="354"/>
      <c r="I3" s="79"/>
      <c r="J3" s="226" t="s">
        <v>31</v>
      </c>
      <c r="K3" s="79"/>
      <c r="L3" s="354" t="s">
        <v>1</v>
      </c>
      <c r="M3" s="354"/>
      <c r="N3" s="354"/>
      <c r="O3" s="354"/>
      <c r="P3" s="79"/>
      <c r="Q3" s="262" t="s">
        <v>31</v>
      </c>
      <c r="R3" s="99"/>
      <c r="S3" s="354" t="s">
        <v>1</v>
      </c>
      <c r="T3" s="354"/>
      <c r="U3" s="354"/>
      <c r="V3" s="354"/>
      <c r="X3" s="303" t="s">
        <v>31</v>
      </c>
      <c r="Y3" s="99"/>
      <c r="Z3" s="99"/>
      <c r="AA3" s="99"/>
    </row>
    <row r="4" spans="1:27" s="24" customFormat="1" ht="30" customHeight="1" x14ac:dyDescent="0.25">
      <c r="A4" s="83" t="s">
        <v>0</v>
      </c>
      <c r="B4" s="100" t="s">
        <v>155</v>
      </c>
      <c r="C4" s="101" t="s">
        <v>159</v>
      </c>
      <c r="D4" s="85"/>
      <c r="E4" s="84" t="s">
        <v>156</v>
      </c>
      <c r="F4" s="84" t="s">
        <v>157</v>
      </c>
      <c r="G4" s="84" t="s">
        <v>158</v>
      </c>
      <c r="H4" s="84" t="s">
        <v>100</v>
      </c>
      <c r="I4" s="85"/>
      <c r="J4" s="84" t="s">
        <v>100</v>
      </c>
      <c r="K4" s="85"/>
      <c r="L4" s="84" t="s">
        <v>148</v>
      </c>
      <c r="M4" s="84" t="s">
        <v>149</v>
      </c>
      <c r="N4" s="84" t="s">
        <v>109</v>
      </c>
      <c r="O4" s="84" t="s">
        <v>314</v>
      </c>
      <c r="P4" s="85"/>
      <c r="Q4" s="84" t="s">
        <v>314</v>
      </c>
      <c r="R4" s="99"/>
      <c r="S4" s="84" t="s">
        <v>327</v>
      </c>
      <c r="T4" s="84" t="s">
        <v>330</v>
      </c>
      <c r="U4" s="84" t="s">
        <v>338</v>
      </c>
      <c r="V4" s="84" t="s">
        <v>346</v>
      </c>
      <c r="X4" s="84" t="s">
        <v>346</v>
      </c>
      <c r="Y4" s="99"/>
      <c r="Z4" s="99"/>
      <c r="AA4" s="99"/>
    </row>
    <row r="5" spans="1:27" ht="16.5" x14ac:dyDescent="0.25">
      <c r="A5" s="3"/>
      <c r="D5" s="51"/>
      <c r="I5" s="51"/>
      <c r="K5" s="51"/>
      <c r="P5" s="51"/>
    </row>
    <row r="6" spans="1:27" ht="16.5" x14ac:dyDescent="0.25">
      <c r="A6" s="212" t="s">
        <v>86</v>
      </c>
      <c r="D6" s="51"/>
      <c r="I6" s="51"/>
      <c r="K6" s="51"/>
      <c r="P6" s="51"/>
    </row>
    <row r="7" spans="1:27" ht="16.5" x14ac:dyDescent="0.25">
      <c r="A7" s="52" t="s">
        <v>243</v>
      </c>
      <c r="B7" s="231">
        <f>+'CES Constant Currency'!B7+'CIS Constant Currency'!B7</f>
        <v>1130.2660000000001</v>
      </c>
      <c r="C7" s="231">
        <f>+'CES Constant Currency'!C7+'CIS Constant Currency'!C7</f>
        <v>1062.104</v>
      </c>
      <c r="D7" s="55"/>
      <c r="E7" s="231">
        <f>+'CES Constant Currency'!E7+'CIS Constant Currency'!E7</f>
        <v>260.995</v>
      </c>
      <c r="F7" s="231">
        <f>+'CES Constant Currency'!F7+'CIS Constant Currency'!F7</f>
        <v>274.77700000000004</v>
      </c>
      <c r="G7" s="231">
        <f>+'CES Constant Currency'!G7+'CIS Constant Currency'!G7</f>
        <v>280.726</v>
      </c>
      <c r="H7" s="231">
        <f>+'CES Constant Currency'!H7+'CIS Constant Currency'!H7</f>
        <v>318.73099999999999</v>
      </c>
      <c r="I7" s="55"/>
      <c r="J7" s="231">
        <f>+'CES Constant Currency'!J7+'CIS Constant Currency'!J7</f>
        <v>1135.175</v>
      </c>
      <c r="K7" s="55"/>
      <c r="L7" s="231">
        <f>+'CES Constant Currency'!L7+'CIS Constant Currency'!L7</f>
        <v>289.22499999999997</v>
      </c>
      <c r="M7" s="231">
        <f>+'CES Constant Currency'!M7+'CIS Constant Currency'!M7</f>
        <v>306.31999999999994</v>
      </c>
      <c r="N7" s="231">
        <f>+'CES Constant Currency'!N7+'CIS Constant Currency'!N7</f>
        <v>304.01600000000002</v>
      </c>
      <c r="O7" s="231">
        <f>+'CES Constant Currency'!O7+'CIS Constant Currency'!O7</f>
        <v>330.19799999999998</v>
      </c>
      <c r="P7" s="55"/>
      <c r="Q7" s="231">
        <f>+'CES Constant Currency'!Q7+'CIS Constant Currency'!Q7</f>
        <v>1229.6680000000001</v>
      </c>
      <c r="S7" s="231">
        <f>+'CES Constant Currency'!S7+'CIS Constant Currency'!S7</f>
        <v>315.28299999999996</v>
      </c>
      <c r="T7" s="231">
        <f>+'CES Constant Currency'!T7+'CIS Constant Currency'!T7</f>
        <v>324.28300000000002</v>
      </c>
      <c r="U7" s="231">
        <f>+'CES Constant Currency'!U7+'CIS Constant Currency'!U7</f>
        <v>324.86699999999996</v>
      </c>
      <c r="V7" s="231">
        <f>+'CES Constant Currency'!V7+'CIS Constant Currency'!V7</f>
        <v>339.20299999999997</v>
      </c>
      <c r="X7" s="231">
        <f>+'CES Constant Currency'!X7+'CIS Constant Currency'!X7</f>
        <v>1303.636</v>
      </c>
    </row>
    <row r="8" spans="1:27" ht="16.5" x14ac:dyDescent="0.25">
      <c r="A8" s="52" t="s">
        <v>244</v>
      </c>
      <c r="B8" s="231">
        <f>+'CES Constant Currency'!B8+'CIS Constant Currency'!B8</f>
        <v>1062.104</v>
      </c>
      <c r="C8" s="231">
        <f>+'CES Constant Currency'!C8+'CIS Constant Currency'!C8</f>
        <v>1135.175</v>
      </c>
      <c r="D8" s="55"/>
      <c r="E8" s="231">
        <f>+'CES Constant Currency'!E8+'CIS Constant Currency'!E8</f>
        <v>289.22499999999997</v>
      </c>
      <c r="F8" s="231">
        <f>+'CES Constant Currency'!F8+'CIS Constant Currency'!F8</f>
        <v>306.31999999999994</v>
      </c>
      <c r="G8" s="231">
        <f>+'CES Constant Currency'!G8+'CIS Constant Currency'!G8</f>
        <v>304.01600000000002</v>
      </c>
      <c r="H8" s="231">
        <f>+'CES Constant Currency'!H8+'CIS Constant Currency'!H8</f>
        <v>330.19799999999998</v>
      </c>
      <c r="I8" s="55"/>
      <c r="J8" s="231">
        <f>+'CES Constant Currency'!J8+'CIS Constant Currency'!J8</f>
        <v>1229.6680000000001</v>
      </c>
      <c r="K8" s="55"/>
      <c r="L8" s="231">
        <f>+'CES Constant Currency'!L8+'CIS Constant Currency'!L8</f>
        <v>315.28299999999996</v>
      </c>
      <c r="M8" s="231">
        <f>+'CES Constant Currency'!M8+'CIS Constant Currency'!M8</f>
        <v>324.28300000000002</v>
      </c>
      <c r="N8" s="231">
        <f>+'CES Constant Currency'!N8+'CIS Constant Currency'!N8</f>
        <v>324.86699999999996</v>
      </c>
      <c r="O8" s="231">
        <f>+'CES Constant Currency'!O8+'CIS Constant Currency'!O8</f>
        <v>339.20299999999997</v>
      </c>
      <c r="P8" s="60"/>
      <c r="Q8" s="231">
        <f>+'CES Constant Currency'!Q8+'CIS Constant Currency'!Q8</f>
        <v>1303.636</v>
      </c>
      <c r="S8" s="231">
        <f>+'CES Constant Currency'!S8+'CIS Constant Currency'!S8</f>
        <v>287.29500000000002</v>
      </c>
      <c r="T8" s="231">
        <f>+'CES Constant Currency'!T8+'CIS Constant Currency'!T8</f>
        <v>309.10900000000004</v>
      </c>
      <c r="U8" s="231">
        <f>+'CES Constant Currency'!U8+'CIS Constant Currency'!U8</f>
        <v>328.20099999999996</v>
      </c>
      <c r="V8" s="231">
        <f>+'CES Constant Currency'!V8+'CIS Constant Currency'!V8</f>
        <v>349.1</v>
      </c>
      <c r="X8" s="231">
        <f>+'CES Constant Currency'!X8+'CIS Constant Currency'!X8</f>
        <v>1273.7049999999999</v>
      </c>
    </row>
    <row r="9" spans="1:27" ht="16.5" x14ac:dyDescent="0.25">
      <c r="A9" s="52" t="s">
        <v>283</v>
      </c>
      <c r="B9" s="231">
        <f>+'CES Constant Currency'!B9+'CIS Constant Currency'!B9</f>
        <v>1072</v>
      </c>
      <c r="C9" s="231">
        <f>+'CES Constant Currency'!C9+'CIS Constant Currency'!C9</f>
        <v>1130</v>
      </c>
      <c r="D9" s="55"/>
      <c r="E9" s="231">
        <f>+'CES Constant Currency'!E9+'CIS Constant Currency'!E9</f>
        <v>284</v>
      </c>
      <c r="F9" s="231">
        <f>+'CES Constant Currency'!F9+'CIS Constant Currency'!F9</f>
        <v>305</v>
      </c>
      <c r="G9" s="231">
        <f>+'CES Constant Currency'!G9+'CIS Constant Currency'!G9</f>
        <v>307</v>
      </c>
      <c r="H9" s="231">
        <f>+'CES Constant Currency'!H9+'CIS Constant Currency'!H9</f>
        <v>335</v>
      </c>
      <c r="I9" s="55"/>
      <c r="J9" s="231">
        <f>+'CES Constant Currency'!J9+'CIS Constant Currency'!J9</f>
        <v>1230</v>
      </c>
      <c r="K9" s="55"/>
      <c r="L9" s="231">
        <f>+'CES Constant Currency'!L9+'CIS Constant Currency'!L9</f>
        <v>321</v>
      </c>
      <c r="M9" s="231">
        <f>+'CES Constant Currency'!M9+'CIS Constant Currency'!M9</f>
        <v>328</v>
      </c>
      <c r="N9" s="231">
        <f>+'CES Constant Currency'!N9+'CIS Constant Currency'!N9</f>
        <v>328</v>
      </c>
      <c r="O9" s="231">
        <f>+'CES Constant Currency'!O9+'CIS Constant Currency'!O9</f>
        <v>340</v>
      </c>
      <c r="P9" s="60"/>
      <c r="Q9" s="231">
        <f>+'CES Constant Currency'!Q9+'CIS Constant Currency'!Q9</f>
        <v>1316</v>
      </c>
      <c r="S9" s="231">
        <f>+'CES Constant Currency'!S9+'CIS Constant Currency'!S9</f>
        <v>291</v>
      </c>
      <c r="T9" s="231">
        <f>+'CES Constant Currency'!T9+'CIS Constant Currency'!T9</f>
        <v>311</v>
      </c>
      <c r="U9" s="231">
        <f>+'CES Constant Currency'!U9+'CIS Constant Currency'!U9</f>
        <v>325</v>
      </c>
      <c r="V9" s="231">
        <f>+'CES Constant Currency'!V9+'CIS Constant Currency'!V9</f>
        <v>346</v>
      </c>
      <c r="X9" s="231">
        <f>+'CES Constant Currency'!X9+'CIS Constant Currency'!X9</f>
        <v>1273</v>
      </c>
    </row>
    <row r="10" spans="1:27" ht="16.5" x14ac:dyDescent="0.25">
      <c r="A10" s="52" t="s">
        <v>237</v>
      </c>
      <c r="B10" s="229">
        <f>+(B8-B7)/B7</f>
        <v>-6.0306158019439698E-2</v>
      </c>
      <c r="C10" s="229">
        <f>+(C8-C7)/C7</f>
        <v>6.8798347431136608E-2</v>
      </c>
      <c r="D10" s="60"/>
      <c r="E10" s="229">
        <f>+(E8-E7)/E7</f>
        <v>0.10816299162819196</v>
      </c>
      <c r="F10" s="229">
        <f>+(F8-F7)/F7</f>
        <v>0.11479490641501977</v>
      </c>
      <c r="G10" s="229">
        <f>+(G8-G7)/G7</f>
        <v>8.2963459031226247E-2</v>
      </c>
      <c r="H10" s="229">
        <f>+(H8-H7)/H7</f>
        <v>3.5977046474927082E-2</v>
      </c>
      <c r="I10" s="60"/>
      <c r="J10" s="229">
        <f>+(J8-J7)/J7</f>
        <v>8.324090999185163E-2</v>
      </c>
      <c r="K10" s="60"/>
      <c r="L10" s="229">
        <f>+(L8-L7)/L7</f>
        <v>9.0095946062753896E-2</v>
      </c>
      <c r="M10" s="229">
        <f>+(M8-M7)/M7</f>
        <v>5.8641290154087498E-2</v>
      </c>
      <c r="N10" s="229">
        <f>+(N8-N7)/N7</f>
        <v>6.8585206041787083E-2</v>
      </c>
      <c r="O10" s="229">
        <f>+(O8-O7)/O7</f>
        <v>2.7271515878351766E-2</v>
      </c>
      <c r="P10" s="60"/>
      <c r="Q10" s="229">
        <f>+(Q8-Q7)/Q7</f>
        <v>6.0152821737249271E-2</v>
      </c>
      <c r="S10" s="229">
        <f>+(S8-S7)/S7</f>
        <v>-8.8771040620648584E-2</v>
      </c>
      <c r="T10" s="229">
        <f>+(T8-T7)/T7</f>
        <v>-4.6792462139550878E-2</v>
      </c>
      <c r="U10" s="229">
        <f>+(U8-U7)/U7</f>
        <v>1.0262661335254131E-2</v>
      </c>
      <c r="V10" s="229">
        <f>+(V8-V7)/V7</f>
        <v>2.9177218361866049E-2</v>
      </c>
      <c r="X10" s="229">
        <f>+(X8-X7)/X7</f>
        <v>-2.2959629835322161E-2</v>
      </c>
    </row>
    <row r="11" spans="1:27" ht="16.5" x14ac:dyDescent="0.25">
      <c r="A11" s="52" t="s">
        <v>238</v>
      </c>
      <c r="B11" s="227">
        <f>+B12-B10-0.001</f>
        <v>7.7554611038463126E-3</v>
      </c>
      <c r="C11" s="227">
        <f>+C12-C10</f>
        <v>-4.8724042090039776E-3</v>
      </c>
      <c r="D11" s="67"/>
      <c r="E11" s="227">
        <f>+E12-E10</f>
        <v>-2.0019540604226005E-2</v>
      </c>
      <c r="F11" s="227">
        <f>+F12-F10</f>
        <v>-4.8038955225507829E-3</v>
      </c>
      <c r="G11" s="227">
        <f>+G12-G10</f>
        <v>1.0629581869865928E-2</v>
      </c>
      <c r="H11" s="227">
        <f>+H12-H10</f>
        <v>1.5065996090747436E-2</v>
      </c>
      <c r="I11" s="67"/>
      <c r="J11" s="227">
        <f>+J12-J10</f>
        <v>1.9246591935152824E-4</v>
      </c>
      <c r="K11" s="67"/>
      <c r="L11" s="227">
        <f>+L12-L10</f>
        <v>1.9766617685193333E-2</v>
      </c>
      <c r="M11" s="227">
        <f>+M12-M10</f>
        <v>1.213436928702006E-2</v>
      </c>
      <c r="N11" s="227">
        <f>+N12-N10</f>
        <v>1.0305378664280954E-2</v>
      </c>
      <c r="O11" s="227">
        <f>+O12-O10+0.001</f>
        <v>3.4137032931756848E-3</v>
      </c>
      <c r="P11" s="67"/>
      <c r="Q11" s="227">
        <f>+Q12-Q10</f>
        <v>1.0054746484416954E-2</v>
      </c>
      <c r="S11" s="227">
        <f>+S12-S10</f>
        <v>1.175134720235467E-2</v>
      </c>
      <c r="T11" s="227">
        <f>+T12-T10</f>
        <v>5.8313263414978972E-3</v>
      </c>
      <c r="U11" s="227">
        <f>+U12-U10</f>
        <v>-9.8532630276388974E-3</v>
      </c>
      <c r="V11" s="227">
        <f>+V12-V10</f>
        <v>-9.1390701143563673E-3</v>
      </c>
      <c r="X11" s="227">
        <f>+X12-X10+0.001</f>
        <v>4.5920487007114746E-4</v>
      </c>
    </row>
    <row r="12" spans="1:27" ht="16.5" x14ac:dyDescent="0.25">
      <c r="A12" s="52" t="s">
        <v>239</v>
      </c>
      <c r="B12" s="228">
        <f>+(B9-B7)/B7</f>
        <v>-5.1550696915593386E-2</v>
      </c>
      <c r="C12" s="228">
        <f>+(C9-C7)/C7</f>
        <v>6.3925943222132631E-2</v>
      </c>
      <c r="D12" s="67"/>
      <c r="E12" s="228">
        <f>+(E9-E7)/E7</f>
        <v>8.8143451023965952E-2</v>
      </c>
      <c r="F12" s="228">
        <f>+(F9-F7)/F7</f>
        <v>0.10999101089246899</v>
      </c>
      <c r="G12" s="228">
        <f>+(G9-G7)/G7</f>
        <v>9.3593040901092175E-2</v>
      </c>
      <c r="H12" s="228">
        <f>+(H9-H7)/H7</f>
        <v>5.1043042565674518E-2</v>
      </c>
      <c r="I12" s="67"/>
      <c r="J12" s="228">
        <f>+(J9-J7)/J7-0.0001</f>
        <v>8.3433375911203159E-2</v>
      </c>
      <c r="K12" s="67"/>
      <c r="L12" s="228">
        <f>+(L9-L7)/L7</f>
        <v>0.10986256374794723</v>
      </c>
      <c r="M12" s="228">
        <f>+(M9-M7)/M7</f>
        <v>7.0775659441107558E-2</v>
      </c>
      <c r="N12" s="228">
        <f>+(N9-N7)/N7</f>
        <v>7.8890584706068037E-2</v>
      </c>
      <c r="O12" s="228">
        <f>+(O9-O7)/O7</f>
        <v>2.9685219171527451E-2</v>
      </c>
      <c r="P12" s="67"/>
      <c r="Q12" s="228">
        <f>+(Q9-Q7)/Q7</f>
        <v>7.0207568221666225E-2</v>
      </c>
      <c r="S12" s="228">
        <f>+(S9-S7)/S7</f>
        <v>-7.7019693418293914E-2</v>
      </c>
      <c r="T12" s="228">
        <f>+(T9-T7)/T7</f>
        <v>-4.0961135798052981E-2</v>
      </c>
      <c r="U12" s="228">
        <f>+(U9-U7)/U7</f>
        <v>4.0939830761523396E-4</v>
      </c>
      <c r="V12" s="228">
        <f>+(V9-V7)/V7</f>
        <v>2.0038148247509682E-2</v>
      </c>
      <c r="X12" s="228">
        <f>+(X9-X7)/X7</f>
        <v>-2.3500424965251013E-2</v>
      </c>
    </row>
    <row r="13" spans="1:27" ht="16.5" x14ac:dyDescent="0.25">
      <c r="A13" s="3"/>
      <c r="D13" s="51"/>
      <c r="I13" s="51"/>
      <c r="K13" s="51"/>
      <c r="P13" s="51"/>
    </row>
    <row r="14" spans="1:27" ht="16.5" x14ac:dyDescent="0.25">
      <c r="A14" s="212" t="s">
        <v>87</v>
      </c>
      <c r="D14" s="51"/>
      <c r="I14" s="51"/>
      <c r="K14" s="51"/>
      <c r="P14" s="51"/>
    </row>
    <row r="15" spans="1:27" s="52" customFormat="1" ht="16.5" x14ac:dyDescent="0.25">
      <c r="A15" s="52" t="s">
        <v>243</v>
      </c>
      <c r="B15" s="231">
        <f>+'CES Constant Currency'!B15+'CIS Constant Currency'!B15</f>
        <v>1134.6410000000001</v>
      </c>
      <c r="C15" s="231">
        <f>+'CES Constant Currency'!C15+'CIS Constant Currency'!C15</f>
        <v>1072.694</v>
      </c>
      <c r="D15" s="55"/>
      <c r="E15" s="231">
        <f>+'CES Constant Currency'!E15+'CIS Constant Currency'!E15</f>
        <v>265.73399999999998</v>
      </c>
      <c r="F15" s="231">
        <f>+'CES Constant Currency'!F15+'CIS Constant Currency'!F15</f>
        <v>278.238</v>
      </c>
      <c r="G15" s="231">
        <f>+'CES Constant Currency'!G15+'CIS Constant Currency'!G15</f>
        <v>283.76</v>
      </c>
      <c r="H15" s="231">
        <f>+'CES Constant Currency'!H15+'CIS Constant Currency'!H15</f>
        <v>322.726</v>
      </c>
      <c r="I15" s="55"/>
      <c r="J15" s="231">
        <f>+'CES Constant Currency'!J15+'CIS Constant Currency'!J15</f>
        <v>1150.395</v>
      </c>
      <c r="K15" s="55"/>
      <c r="L15" s="231">
        <f>+'CES Constant Currency'!L15+'CIS Constant Currency'!L15</f>
        <v>291.95500000000004</v>
      </c>
      <c r="M15" s="231">
        <f>+'CES Constant Currency'!M15+'CIS Constant Currency'!M15</f>
        <v>308.52500000000003</v>
      </c>
      <c r="N15" s="231">
        <f>+'CES Constant Currency'!N15+'CIS Constant Currency'!N15</f>
        <v>308.02</v>
      </c>
      <c r="O15" s="231">
        <f>+'CES Constant Currency'!O15+'CIS Constant Currency'!O15</f>
        <v>336.673</v>
      </c>
      <c r="P15" s="55"/>
      <c r="Q15" s="231">
        <f>+'CES Constant Currency'!Q15+'CIS Constant Currency'!Q15</f>
        <v>1245.0809999999999</v>
      </c>
      <c r="R15" s="102"/>
      <c r="S15" s="231">
        <f>+'CES Constant Currency'!S15+'CIS Constant Currency'!S15</f>
        <v>324.15600000000001</v>
      </c>
      <c r="T15" s="231">
        <f>+'CES Constant Currency'!T15+'CIS Constant Currency'!T15</f>
        <v>331.31299999999999</v>
      </c>
      <c r="U15" s="231">
        <f>+'CES Constant Currency'!U15+'CIS Constant Currency'!U15</f>
        <v>331.08</v>
      </c>
      <c r="V15" s="231">
        <f>+'CES Constant Currency'!V15+'CIS Constant Currency'!V15</f>
        <v>349.46199999999999</v>
      </c>
      <c r="X15" s="231">
        <f>+'CES Constant Currency'!X15+'CIS Constant Currency'!X15</f>
        <v>1336.011</v>
      </c>
      <c r="Y15" s="102"/>
      <c r="Z15" s="102"/>
      <c r="AA15" s="102"/>
    </row>
    <row r="16" spans="1:27" s="52" customFormat="1" ht="16.5" x14ac:dyDescent="0.25">
      <c r="A16" s="52" t="s">
        <v>244</v>
      </c>
      <c r="B16" s="231">
        <f>+'CES Constant Currency'!B16+'CIS Constant Currency'!B16</f>
        <v>1072.694</v>
      </c>
      <c r="C16" s="231">
        <f>+'CES Constant Currency'!C16+'CIS Constant Currency'!C16</f>
        <v>1150.395</v>
      </c>
      <c r="D16" s="55"/>
      <c r="E16" s="231">
        <f>+'CES Constant Currency'!E16+'CIS Constant Currency'!E16</f>
        <v>291.95500000000004</v>
      </c>
      <c r="F16" s="231">
        <f>+'CES Constant Currency'!F16+'CIS Constant Currency'!F16</f>
        <v>308.52500000000003</v>
      </c>
      <c r="G16" s="231">
        <f>+'CES Constant Currency'!G16+'CIS Constant Currency'!G16</f>
        <v>308.02</v>
      </c>
      <c r="H16" s="231">
        <f>+'CES Constant Currency'!H16+'CIS Constant Currency'!H16</f>
        <v>336.673</v>
      </c>
      <c r="I16" s="55"/>
      <c r="J16" s="231">
        <f>+'CES Constant Currency'!J16+'CIS Constant Currency'!J16</f>
        <v>1245.0809999999999</v>
      </c>
      <c r="K16" s="55"/>
      <c r="L16" s="231">
        <f>+'CES Constant Currency'!L16+'CIS Constant Currency'!L16</f>
        <v>324.15600000000001</v>
      </c>
      <c r="M16" s="231">
        <f>+'CES Constant Currency'!M16+'CIS Constant Currency'!M16</f>
        <v>331.31299999999999</v>
      </c>
      <c r="N16" s="231">
        <f>+'CES Constant Currency'!N16+'CIS Constant Currency'!N16</f>
        <v>331.08</v>
      </c>
      <c r="O16" s="231">
        <f>+'CES Constant Currency'!O16+'CIS Constant Currency'!O16</f>
        <v>349.46199999999999</v>
      </c>
      <c r="P16" s="60"/>
      <c r="Q16" s="231">
        <f>+'CES Constant Currency'!Q16+'CIS Constant Currency'!Q16</f>
        <v>1336.011</v>
      </c>
      <c r="R16" s="102"/>
      <c r="S16" s="231">
        <f>+'CES Constant Currency'!S16+'CIS Constant Currency'!S16</f>
        <v>291.64900000000006</v>
      </c>
      <c r="T16" s="231">
        <f>+'CES Constant Currency'!T16+'CIS Constant Currency'!T16</f>
        <v>313.41300000000001</v>
      </c>
      <c r="U16" s="231">
        <f>+'CES Constant Currency'!U16+'CIS Constant Currency'!U16</f>
        <v>331.12</v>
      </c>
      <c r="V16" s="231">
        <f>+'CES Constant Currency'!V16+'CIS Constant Currency'!V16</f>
        <v>351.428</v>
      </c>
      <c r="X16" s="231">
        <f>+'CES Constant Currency'!X16+'CIS Constant Currency'!X16</f>
        <v>1287.6099999999999</v>
      </c>
      <c r="Y16" s="102"/>
      <c r="Z16" s="102"/>
      <c r="AA16" s="102"/>
    </row>
    <row r="17" spans="1:27" s="52" customFormat="1" ht="16.5" x14ac:dyDescent="0.25">
      <c r="A17" s="52" t="s">
        <v>283</v>
      </c>
      <c r="B17" s="231">
        <f>+'CES Constant Currency'!B17+'CIS Constant Currency'!B17</f>
        <v>1083</v>
      </c>
      <c r="C17" s="231">
        <f>+'CES Constant Currency'!C17+'CIS Constant Currency'!C17</f>
        <v>1145</v>
      </c>
      <c r="D17" s="55"/>
      <c r="E17" s="231">
        <f>+'CES Constant Currency'!E17+'CIS Constant Currency'!E17</f>
        <v>286</v>
      </c>
      <c r="F17" s="231">
        <f>+'CES Constant Currency'!F17+'CIS Constant Currency'!F17</f>
        <v>307</v>
      </c>
      <c r="G17" s="231">
        <f>+'CES Constant Currency'!G17+'CIS Constant Currency'!G17</f>
        <v>311</v>
      </c>
      <c r="H17" s="231">
        <f>+'CES Constant Currency'!H17+'CIS Constant Currency'!H17</f>
        <v>341</v>
      </c>
      <c r="I17" s="55"/>
      <c r="J17" s="231">
        <f>+'CES Constant Currency'!J17+'CIS Constant Currency'!J17</f>
        <v>1245</v>
      </c>
      <c r="K17" s="55"/>
      <c r="L17" s="231">
        <f>+'CES Constant Currency'!L17+'CIS Constant Currency'!L17</f>
        <v>329</v>
      </c>
      <c r="M17" s="231">
        <f>+'CES Constant Currency'!M17+'CIS Constant Currency'!M17</f>
        <v>335</v>
      </c>
      <c r="N17" s="231">
        <f>+'CES Constant Currency'!N17+'CIS Constant Currency'!N17</f>
        <v>334</v>
      </c>
      <c r="O17" s="231">
        <f>+'CES Constant Currency'!O17+'CIS Constant Currency'!O17</f>
        <v>350</v>
      </c>
      <c r="P17" s="60"/>
      <c r="Q17" s="231">
        <f>+'CES Constant Currency'!Q17+'CIS Constant Currency'!Q17</f>
        <v>1349</v>
      </c>
      <c r="R17" s="102"/>
      <c r="S17" s="231">
        <f>+'CES Constant Currency'!S17+'CIS Constant Currency'!S17</f>
        <v>295</v>
      </c>
      <c r="T17" s="231">
        <f>+'CES Constant Currency'!T17+'CIS Constant Currency'!T17</f>
        <v>316</v>
      </c>
      <c r="U17" s="231">
        <f>+'CES Constant Currency'!U17+'CIS Constant Currency'!U17</f>
        <v>328</v>
      </c>
      <c r="V17" s="231">
        <f>+'CES Constant Currency'!V17+'CIS Constant Currency'!V17</f>
        <v>348</v>
      </c>
      <c r="X17" s="231">
        <f>+'CES Constant Currency'!X17+'CIS Constant Currency'!X17</f>
        <v>1287</v>
      </c>
      <c r="Y17" s="102"/>
      <c r="Z17" s="102"/>
      <c r="AA17" s="102"/>
    </row>
    <row r="18" spans="1:27" s="52" customFormat="1" ht="16.5" x14ac:dyDescent="0.25">
      <c r="A18" s="52" t="s">
        <v>237</v>
      </c>
      <c r="B18" s="229">
        <f>+(B16-B15)/B15</f>
        <v>-5.459612335531689E-2</v>
      </c>
      <c r="C18" s="229">
        <f>+(C16-C15)/C15</f>
        <v>7.2435382317790564E-2</v>
      </c>
      <c r="D18" s="60"/>
      <c r="E18" s="229">
        <f>+(E16-E15)/E15</f>
        <v>9.8673861831756804E-2</v>
      </c>
      <c r="F18" s="229">
        <f>+(F16-F15)/F15</f>
        <v>0.10885285259382269</v>
      </c>
      <c r="G18" s="229">
        <f>+(G16-G15)/G15-0.001</f>
        <v>8.4494784324781469E-2</v>
      </c>
      <c r="H18" s="229">
        <f>+(H16-H15)/H15</f>
        <v>4.3216226768218249E-2</v>
      </c>
      <c r="I18" s="60"/>
      <c r="J18" s="229">
        <f>+(J16-J15)/J15</f>
        <v>8.2307381377700634E-2</v>
      </c>
      <c r="K18" s="60"/>
      <c r="L18" s="229">
        <f>+(L16-L15)/L15</f>
        <v>0.11029439468411215</v>
      </c>
      <c r="M18" s="229">
        <f>+(M16-M15)/M15</f>
        <v>7.3861113361964034E-2</v>
      </c>
      <c r="N18" s="229">
        <f>+(N16-N15)/N15</f>
        <v>7.4865268489059167E-2</v>
      </c>
      <c r="O18" s="229">
        <f>+(O16-O15)/O15</f>
        <v>3.7986414116962117E-2</v>
      </c>
      <c r="P18" s="60"/>
      <c r="Q18" s="229">
        <f>+(Q16-Q15)/Q15</f>
        <v>7.3031393138277806E-2</v>
      </c>
      <c r="R18" s="102"/>
      <c r="S18" s="229">
        <f>+(S16-S15)/S15</f>
        <v>-0.10028196300546634</v>
      </c>
      <c r="T18" s="229">
        <f>+(T16-T15)/T15</f>
        <v>-5.4027460437712914E-2</v>
      </c>
      <c r="U18" s="229">
        <f>+(U16-U15)/U15</f>
        <v>1.2081672103425295E-4</v>
      </c>
      <c r="V18" s="229">
        <f>+(V16-V15)/V15</f>
        <v>5.6257905008270095E-3</v>
      </c>
      <c r="X18" s="229">
        <f>+(X16-X15)/X15</f>
        <v>-3.6227995128782671E-2</v>
      </c>
      <c r="Y18" s="102"/>
      <c r="Z18" s="102"/>
      <c r="AA18" s="102"/>
    </row>
    <row r="19" spans="1:27" s="52" customFormat="1" ht="16.5" x14ac:dyDescent="0.25">
      <c r="A19" s="52" t="s">
        <v>238</v>
      </c>
      <c r="B19" s="227">
        <f>+B20-B18</f>
        <v>9.083049175906778E-3</v>
      </c>
      <c r="C19" s="227">
        <f>+C20-C18</f>
        <v>-5.0293932845713596E-3</v>
      </c>
      <c r="D19" s="67"/>
      <c r="E19" s="227">
        <f>+E20-E18</f>
        <v>-2.2409627672785717E-2</v>
      </c>
      <c r="F19" s="227">
        <f>+F20-F18</f>
        <v>-5.480919213047955E-3</v>
      </c>
      <c r="G19" s="227">
        <f>+G20-G18</f>
        <v>1.1501832534536294E-2</v>
      </c>
      <c r="H19" s="227">
        <f>+H20-H18+0.001</f>
        <v>1.4407658509075806E-2</v>
      </c>
      <c r="I19" s="67"/>
      <c r="J19" s="227">
        <f>+J20-J18</f>
        <v>-7.0410598098827326E-5</v>
      </c>
      <c r="K19" s="67"/>
      <c r="L19" s="227">
        <f>+L20-L18+0.001</f>
        <v>1.7591598020242821E-2</v>
      </c>
      <c r="M19" s="227">
        <f>+M20-M18</f>
        <v>1.1950409205088761E-2</v>
      </c>
      <c r="N19" s="227">
        <f>+N20-N18</f>
        <v>9.4799039023440584E-3</v>
      </c>
      <c r="O19" s="227">
        <f>+O20-O18</f>
        <v>1.5979897407870855E-3</v>
      </c>
      <c r="P19" s="67"/>
      <c r="Q19" s="227">
        <f>+Q20-Q18</f>
        <v>1.0432253002013558E-2</v>
      </c>
      <c r="R19" s="102"/>
      <c r="S19" s="227">
        <f>+S20-S18</f>
        <v>1.0337615222300187E-2</v>
      </c>
      <c r="T19" s="227">
        <f>+T20-T18</f>
        <v>7.8083262654951371E-3</v>
      </c>
      <c r="U19" s="227">
        <f>+U20-U18</f>
        <v>-9.4237042406669219E-3</v>
      </c>
      <c r="V19" s="227">
        <f>+V20-V18</f>
        <v>-9.809364108257829E-3</v>
      </c>
      <c r="X19" s="227">
        <f>+X20-X18-0.001</f>
        <v>-1.4565830670555105E-3</v>
      </c>
      <c r="Y19" s="102"/>
      <c r="Z19" s="102"/>
      <c r="AA19" s="102"/>
    </row>
    <row r="20" spans="1:27" s="52" customFormat="1" ht="16.5" x14ac:dyDescent="0.25">
      <c r="A20" s="52" t="s">
        <v>239</v>
      </c>
      <c r="B20" s="228">
        <f>+(B17-B15)/B15</f>
        <v>-4.5513074179410112E-2</v>
      </c>
      <c r="C20" s="228">
        <f>+(C17-C15)/C15</f>
        <v>6.7405989033219205E-2</v>
      </c>
      <c r="D20" s="67"/>
      <c r="E20" s="228">
        <f>+(E17-E15)/E15</f>
        <v>7.6264234158971086E-2</v>
      </c>
      <c r="F20" s="228">
        <f>+(F17-F15)/F15</f>
        <v>0.10337193338077473</v>
      </c>
      <c r="G20" s="228">
        <f>+(G17-G15)/G15</f>
        <v>9.5996616859317763E-2</v>
      </c>
      <c r="H20" s="228">
        <f>+(H17-H15)/H15</f>
        <v>5.6623885277294055E-2</v>
      </c>
      <c r="I20" s="67"/>
      <c r="J20" s="228">
        <f>+(J17-J15)/J15</f>
        <v>8.2236970779601806E-2</v>
      </c>
      <c r="K20" s="67"/>
      <c r="L20" s="228">
        <f>+(L17-L15)/L15</f>
        <v>0.12688599270435497</v>
      </c>
      <c r="M20" s="228">
        <f>+(M17-M15)/M15</f>
        <v>8.5811522567052795E-2</v>
      </c>
      <c r="N20" s="228">
        <f>+(N17-N15)/N15</f>
        <v>8.4345172391403225E-2</v>
      </c>
      <c r="O20" s="228">
        <f>+(O17-O15)/O15</f>
        <v>3.9584403857749202E-2</v>
      </c>
      <c r="P20" s="67"/>
      <c r="Q20" s="228">
        <f>+(Q17-Q15)/Q15</f>
        <v>8.3463646140291364E-2</v>
      </c>
      <c r="R20" s="102"/>
      <c r="S20" s="228">
        <f>+(S17-S15)/S15</f>
        <v>-8.9944347783166151E-2</v>
      </c>
      <c r="T20" s="228">
        <f>+(T17-T15)/T15</f>
        <v>-4.6219134172217777E-2</v>
      </c>
      <c r="U20" s="228">
        <f>+(U17-U15)/U15</f>
        <v>-9.3028875196326695E-3</v>
      </c>
      <c r="V20" s="228">
        <f>+(V17-V15)/V15</f>
        <v>-4.1835736074308195E-3</v>
      </c>
      <c r="X20" s="228">
        <f>+(X17-X15)/X15</f>
        <v>-3.6684578195838181E-2</v>
      </c>
      <c r="Y20" s="102"/>
      <c r="Z20" s="102"/>
      <c r="AA20" s="102"/>
    </row>
    <row r="21" spans="1:27" ht="16.5" x14ac:dyDescent="0.25">
      <c r="D21" s="47"/>
      <c r="I21" s="47"/>
      <c r="K21" s="47"/>
      <c r="P21" s="47"/>
    </row>
    <row r="22" spans="1:27" ht="16.5" x14ac:dyDescent="0.25">
      <c r="D22" s="47"/>
      <c r="I22" s="47"/>
      <c r="K22" s="47"/>
      <c r="P22" s="47"/>
    </row>
    <row r="23" spans="1:27" ht="16.5" x14ac:dyDescent="0.25">
      <c r="D23" s="52"/>
      <c r="I23" s="52"/>
      <c r="K23" s="52"/>
      <c r="P23" s="52"/>
    </row>
    <row r="24" spans="1:27" ht="16.5" x14ac:dyDescent="0.25">
      <c r="D24" s="52"/>
      <c r="I24" s="52"/>
      <c r="K24" s="52"/>
      <c r="P24" s="52"/>
    </row>
    <row r="25" spans="1:27" ht="16.5" x14ac:dyDescent="0.25">
      <c r="D25" s="52"/>
      <c r="I25" s="52"/>
      <c r="K25" s="52"/>
      <c r="P25" s="52"/>
    </row>
    <row r="26" spans="1:27" s="13" customFormat="1" ht="16.5" x14ac:dyDescent="0.25">
      <c r="D26" s="52"/>
      <c r="I26" s="52"/>
      <c r="K26" s="52"/>
      <c r="P26" s="52"/>
      <c r="W26" s="3"/>
    </row>
    <row r="28" spans="1:27" x14ac:dyDescent="0.2">
      <c r="A28" s="13" t="s">
        <v>11</v>
      </c>
    </row>
  </sheetData>
  <mergeCells count="3">
    <mergeCell ref="E3:H3"/>
    <mergeCell ref="L3:O3"/>
    <mergeCell ref="S3:V3"/>
  </mergeCells>
  <pageMargins left="0.25" right="0.25" top="0.75" bottom="0.75" header="0.3" footer="0.3"/>
  <pageSetup scale="3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0000FF"/>
    <pageSetUpPr fitToPage="1"/>
  </sheetPr>
  <dimension ref="A1:X115"/>
  <sheetViews>
    <sheetView zoomScale="65" zoomScaleNormal="65" zoomScaleSheetLayoutView="90" workbookViewId="0">
      <pane xSplit="1" ySplit="4" topLeftCell="B5" activePane="bottomRight" state="frozen"/>
      <selection activeCell="A30" sqref="A30"/>
      <selection pane="topRight" activeCell="A30" sqref="A30"/>
      <selection pane="bottomLeft" activeCell="A30" sqref="A30"/>
      <selection pane="bottomRight" activeCell="B5" sqref="B5"/>
    </sheetView>
  </sheetViews>
  <sheetFormatPr defaultColWidth="9.140625" defaultRowHeight="11.25" outlineLevelCol="2" x14ac:dyDescent="0.2"/>
  <cols>
    <col min="1" max="1" width="55.7109375" style="4" customWidth="1"/>
    <col min="2" max="2" width="20.7109375" style="4" customWidth="1" outlineLevel="1"/>
    <col min="3" max="3" width="20.7109375" style="8" customWidth="1" outlineLevel="1"/>
    <col min="4" max="4" width="1.28515625" style="8" hidden="1" customWidth="1" outlineLevel="2"/>
    <col min="5" max="8" width="20.7109375" style="8" hidden="1" customWidth="1" outlineLevel="2"/>
    <col min="9" max="9" width="0.7109375" style="8" hidden="1" customWidth="1" outlineLevel="2"/>
    <col min="10" max="10" width="20.7109375" style="8" customWidth="1" outlineLevel="1" collapsed="1"/>
    <col min="11" max="11" width="1.28515625" style="8" customWidth="1"/>
    <col min="12" max="15" width="20.7109375" style="8" customWidth="1" outlineLevel="1"/>
    <col min="16" max="16" width="1.42578125" style="8" customWidth="1"/>
    <col min="17" max="17" width="20.7109375" style="8" customWidth="1"/>
    <col min="18" max="18" width="1.28515625" style="8" customWidth="1"/>
    <col min="19" max="22" width="20.7109375" style="8" customWidth="1"/>
    <col min="23" max="23" width="1.42578125" style="8" customWidth="1"/>
    <col min="24" max="24" width="20.7109375" style="8" customWidth="1"/>
    <col min="25" max="16384" width="9.140625" style="14"/>
  </cols>
  <sheetData>
    <row r="1" spans="1:24" s="8" customFormat="1" ht="18" x14ac:dyDescent="0.25">
      <c r="A1" s="198" t="s">
        <v>185</v>
      </c>
      <c r="B1" s="3"/>
    </row>
    <row r="2" spans="1:24" s="8" customFormat="1" x14ac:dyDescent="0.2">
      <c r="A2" s="1"/>
      <c r="B2" s="1"/>
      <c r="C2" s="9"/>
      <c r="D2" s="9"/>
      <c r="E2" s="9"/>
      <c r="F2" s="9"/>
      <c r="G2" s="9"/>
      <c r="H2" s="9"/>
      <c r="I2" s="9"/>
      <c r="J2" s="9"/>
      <c r="K2" s="9"/>
      <c r="L2" s="9"/>
      <c r="M2" s="9"/>
      <c r="N2" s="9"/>
      <c r="O2" s="9"/>
      <c r="P2" s="9"/>
      <c r="Q2" s="9"/>
      <c r="R2" s="9"/>
      <c r="S2" s="9"/>
      <c r="T2" s="9"/>
      <c r="U2" s="9"/>
      <c r="V2" s="9"/>
      <c r="W2" s="9"/>
      <c r="X2" s="9"/>
    </row>
    <row r="3" spans="1:24" s="24" customFormat="1" ht="30" customHeight="1" x14ac:dyDescent="0.25">
      <c r="A3" s="78"/>
      <c r="B3" s="196" t="s">
        <v>31</v>
      </c>
      <c r="C3" s="196" t="s">
        <v>31</v>
      </c>
      <c r="E3" s="354" t="s">
        <v>1</v>
      </c>
      <c r="F3" s="354"/>
      <c r="G3" s="354"/>
      <c r="H3" s="354"/>
      <c r="I3" s="80"/>
      <c r="J3" s="81" t="s">
        <v>31</v>
      </c>
      <c r="K3" s="82"/>
      <c r="L3" s="354" t="s">
        <v>1</v>
      </c>
      <c r="M3" s="354"/>
      <c r="N3" s="354"/>
      <c r="O3" s="354"/>
      <c r="P3" s="82"/>
      <c r="Q3" s="262" t="s">
        <v>31</v>
      </c>
      <c r="R3" s="110"/>
      <c r="S3" s="354" t="s">
        <v>1</v>
      </c>
      <c r="T3" s="354"/>
      <c r="U3" s="354"/>
      <c r="V3" s="354"/>
      <c r="X3" s="303" t="s">
        <v>31</v>
      </c>
    </row>
    <row r="4" spans="1:24" s="24" customFormat="1" ht="30" customHeight="1" x14ac:dyDescent="0.25">
      <c r="A4" s="83" t="s">
        <v>0</v>
      </c>
      <c r="B4" s="84" t="s">
        <v>155</v>
      </c>
      <c r="C4" s="84" t="s">
        <v>159</v>
      </c>
      <c r="E4" s="84" t="s">
        <v>156</v>
      </c>
      <c r="F4" s="84" t="s">
        <v>157</v>
      </c>
      <c r="G4" s="84" t="s">
        <v>158</v>
      </c>
      <c r="H4" s="84" t="s">
        <v>100</v>
      </c>
      <c r="I4" s="86"/>
      <c r="J4" s="84" t="s">
        <v>100</v>
      </c>
      <c r="K4" s="82"/>
      <c r="L4" s="84" t="s">
        <v>148</v>
      </c>
      <c r="M4" s="84" t="s">
        <v>149</v>
      </c>
      <c r="N4" s="84" t="s">
        <v>109</v>
      </c>
      <c r="O4" s="84" t="s">
        <v>314</v>
      </c>
      <c r="P4" s="82"/>
      <c r="Q4" s="84" t="s">
        <v>314</v>
      </c>
      <c r="R4" s="86"/>
      <c r="S4" s="84" t="s">
        <v>327</v>
      </c>
      <c r="T4" s="84" t="s">
        <v>330</v>
      </c>
      <c r="U4" s="84" t="s">
        <v>338</v>
      </c>
      <c r="V4" s="84" t="s">
        <v>346</v>
      </c>
      <c r="X4" s="84" t="s">
        <v>346</v>
      </c>
    </row>
    <row r="5" spans="1:24" s="47" customFormat="1" ht="16.5" x14ac:dyDescent="0.25">
      <c r="A5" s="49"/>
      <c r="B5" s="49"/>
    </row>
    <row r="6" spans="1:24" s="47" customFormat="1" ht="16.5" x14ac:dyDescent="0.25">
      <c r="A6" s="65" t="s">
        <v>34</v>
      </c>
      <c r="B6" s="88">
        <f>+'CES Operating &amp; EBITDA Margins'!B6+'CIS Operating &amp; EBITDA Margins'!B6</f>
        <v>17.366</v>
      </c>
      <c r="C6" s="88">
        <f>+'CES Operating &amp; EBITDA Margins'!C6+'CIS Operating &amp; EBITDA Margins'!C6</f>
        <v>48.6</v>
      </c>
      <c r="D6" s="120"/>
      <c r="E6" s="88">
        <f>+'CES Operating &amp; EBITDA Margins'!E6+'CIS Operating &amp; EBITDA Margins'!E6</f>
        <v>7.8000000000000007</v>
      </c>
      <c r="F6" s="88">
        <f>+'CES Operating &amp; EBITDA Margins'!F6+'CIS Operating &amp; EBITDA Margins'!F6</f>
        <v>29.2</v>
      </c>
      <c r="G6" s="88">
        <f>+'CES Operating &amp; EBITDA Margins'!G6+'CIS Operating &amp; EBITDA Margins'!G6</f>
        <v>33.700000000000003</v>
      </c>
      <c r="H6" s="88">
        <f>+'CES Operating &amp; EBITDA Margins'!H6+'CIS Operating &amp; EBITDA Margins'!H6</f>
        <v>43.6</v>
      </c>
      <c r="I6" s="120"/>
      <c r="J6" s="88">
        <f>+'CES Operating &amp; EBITDA Margins'!J6+'CIS Operating &amp; EBITDA Margins'!J6</f>
        <v>114.19999999999999</v>
      </c>
      <c r="K6" s="120"/>
      <c r="L6" s="88">
        <f>+'CES Operating &amp; EBITDA Margins'!L6+'CIS Operating &amp; EBITDA Margins'!L6</f>
        <v>14.5</v>
      </c>
      <c r="M6" s="88">
        <f>+'CES Operating &amp; EBITDA Margins'!M6+'CIS Operating &amp; EBITDA Margins'!M6</f>
        <v>15.28</v>
      </c>
      <c r="N6" s="88">
        <f>+'CES Operating &amp; EBITDA Margins'!N6+'CIS Operating &amp; EBITDA Margins'!N6</f>
        <v>29.817</v>
      </c>
      <c r="O6" s="88">
        <f>+'CES Operating &amp; EBITDA Margins'!O6+'CIS Operating &amp; EBITDA Margins'!O6</f>
        <v>28.295999999999999</v>
      </c>
      <c r="P6" s="121"/>
      <c r="Q6" s="88">
        <f>+'CES Operating &amp; EBITDA Margins'!Q6+'CIS Operating &amp; EBITDA Margins'!Q6</f>
        <v>87.856000000000009</v>
      </c>
      <c r="R6" s="105"/>
      <c r="S6" s="88">
        <f>+'CES Operating &amp; EBITDA Margins'!S6+'CIS Operating &amp; EBITDA Margins'!S6</f>
        <v>6.1740000000000004</v>
      </c>
      <c r="T6" s="88">
        <f>+'CES Operating &amp; EBITDA Margins'!T6+'CIS Operating &amp; EBITDA Margins'!T6</f>
        <v>42.317</v>
      </c>
      <c r="U6" s="88">
        <f>+'CES Operating &amp; EBITDA Margins'!U6+'CIS Operating &amp; EBITDA Margins'!U6</f>
        <v>37.741</v>
      </c>
      <c r="V6" s="88">
        <f>+'CES Operating &amp; EBITDA Margins'!V6+'CIS Operating &amp; EBITDA Margins'!V6</f>
        <v>22.472999999999999</v>
      </c>
      <c r="W6" s="263"/>
      <c r="X6" s="88">
        <f>+'CES Operating &amp; EBITDA Margins'!X6+'CIS Operating &amp; EBITDA Margins'!X6</f>
        <v>108.70500000000001</v>
      </c>
    </row>
    <row r="7" spans="1:24" s="47" customFormat="1" ht="16.5" x14ac:dyDescent="0.25">
      <c r="A7" s="65" t="s">
        <v>98</v>
      </c>
      <c r="B7" s="112">
        <v>1.6E-2</v>
      </c>
      <c r="C7" s="112">
        <v>4.2999999999999997E-2</v>
      </c>
      <c r="D7" s="123"/>
      <c r="E7" s="112">
        <v>2.7E-2</v>
      </c>
      <c r="F7" s="112">
        <v>9.5000000000000001E-2</v>
      </c>
      <c r="G7" s="112">
        <v>0.111</v>
      </c>
      <c r="H7" s="112">
        <v>0.13200000000000001</v>
      </c>
      <c r="I7" s="123"/>
      <c r="J7" s="112">
        <v>9.2999999999999999E-2</v>
      </c>
      <c r="K7" s="123"/>
      <c r="L7" s="112">
        <v>4.5999999999999999E-2</v>
      </c>
      <c r="M7" s="112">
        <v>4.7E-2</v>
      </c>
      <c r="N7" s="112">
        <v>9.1999999999999998E-2</v>
      </c>
      <c r="O7" s="112">
        <v>8.3000000000000004E-2</v>
      </c>
      <c r="P7" s="123"/>
      <c r="Q7" s="112">
        <v>6.7000000000000004E-2</v>
      </c>
      <c r="R7" s="106"/>
      <c r="S7" s="112">
        <v>2.1000000000000001E-2</v>
      </c>
      <c r="T7" s="112">
        <v>0.13700000000000001</v>
      </c>
      <c r="U7" s="112">
        <v>0.115</v>
      </c>
      <c r="V7" s="112">
        <v>6.4000000000000001E-2</v>
      </c>
      <c r="W7" s="311"/>
      <c r="X7" s="112">
        <v>8.5000000000000006E-2</v>
      </c>
    </row>
    <row r="8" spans="1:24" s="47" customFormat="1" ht="16.5" x14ac:dyDescent="0.25">
      <c r="A8" s="65"/>
      <c r="B8" s="68"/>
      <c r="C8" s="68"/>
      <c r="D8" s="106"/>
      <c r="E8" s="68"/>
      <c r="F8" s="68"/>
      <c r="G8" s="68"/>
      <c r="H8" s="68"/>
      <c r="I8" s="106"/>
      <c r="J8" s="68"/>
      <c r="K8" s="106"/>
      <c r="L8" s="68"/>
      <c r="M8" s="68"/>
      <c r="N8" s="68"/>
      <c r="O8" s="68"/>
      <c r="P8" s="106"/>
      <c r="Q8" s="68"/>
      <c r="R8" s="106"/>
      <c r="S8" s="68"/>
      <c r="T8" s="68"/>
      <c r="U8" s="68"/>
      <c r="V8" s="68"/>
      <c r="W8" s="311"/>
      <c r="X8" s="68"/>
    </row>
    <row r="9" spans="1:24" s="47" customFormat="1" ht="16.5" x14ac:dyDescent="0.25">
      <c r="A9" s="58" t="s">
        <v>42</v>
      </c>
      <c r="B9" s="61">
        <f>+'CES Operating &amp; EBITDA Margins'!B9+'CIS Operating &amp; EBITDA Margins'!B9</f>
        <v>10.59</v>
      </c>
      <c r="C9" s="61">
        <f>+'CES Operating &amp; EBITDA Margins'!C9+'CIS Operating &amp; EBITDA Margins'!C9</f>
        <v>15.3</v>
      </c>
      <c r="D9" s="106"/>
      <c r="E9" s="61">
        <f>+'CES Operating &amp; EBITDA Margins'!E9+'CIS Operating &amp; EBITDA Margins'!E9</f>
        <v>2.8000000000000003</v>
      </c>
      <c r="F9" s="61">
        <f>+'CES Operating &amp; EBITDA Margins'!F9+'CIS Operating &amp; EBITDA Margins'!F9</f>
        <v>2.2000000000000002</v>
      </c>
      <c r="G9" s="61">
        <f>+'CES Operating &amp; EBITDA Margins'!G9+'CIS Operating &amp; EBITDA Margins'!G9</f>
        <v>4</v>
      </c>
      <c r="H9" s="61">
        <f>+'CES Operating &amp; EBITDA Margins'!H9+'CIS Operating &amp; EBITDA Margins'!H9</f>
        <v>6.5</v>
      </c>
      <c r="I9" s="61"/>
      <c r="J9" s="61">
        <f>+'CES Operating &amp; EBITDA Margins'!J9+'CIS Operating &amp; EBITDA Margins'!J9</f>
        <v>15.4</v>
      </c>
      <c r="K9" s="61"/>
      <c r="L9" s="61">
        <f>+'CES Operating &amp; EBITDA Margins'!L9+'CIS Operating &amp; EBITDA Margins'!L9</f>
        <v>8.9</v>
      </c>
      <c r="M9" s="61">
        <f>+'CES Operating &amp; EBITDA Margins'!M9+'CIS Operating &amp; EBITDA Margins'!M9</f>
        <v>6.9880000000000004</v>
      </c>
      <c r="N9" s="61">
        <f>+'CES Operating &amp; EBITDA Margins'!N9+'CIS Operating &amp; EBITDA Margins'!N9</f>
        <v>6.2130000000000001</v>
      </c>
      <c r="O9" s="61">
        <f>+'CES Operating &amp; EBITDA Margins'!O9+'CIS Operating &amp; EBITDA Margins'!O9</f>
        <v>10.259</v>
      </c>
      <c r="P9" s="111"/>
      <c r="Q9" s="61">
        <f>+'CES Operating &amp; EBITDA Margins'!Q9+'CIS Operating &amp; EBITDA Margins'!Q9</f>
        <v>32.383000000000003</v>
      </c>
      <c r="R9" s="106"/>
      <c r="S9" s="61">
        <f>+'CES Operating &amp; EBITDA Margins'!S9+'CIS Operating &amp; EBITDA Margins'!S9</f>
        <v>4.3540000000000063</v>
      </c>
      <c r="T9" s="61">
        <f>+'CES Operating &amp; EBITDA Margins'!T9+'CIS Operating &amp; EBITDA Margins'!T9</f>
        <v>4.304000000000002</v>
      </c>
      <c r="U9" s="61">
        <f>+'CES Operating &amp; EBITDA Margins'!U9+'CIS Operating &amp; EBITDA Margins'!U9</f>
        <v>2.9189999999999969</v>
      </c>
      <c r="V9" s="61">
        <f>+'CES Operating &amp; EBITDA Margins'!V9+'CIS Operating &amp; EBITDA Margins'!V9</f>
        <v>2.328000000000003</v>
      </c>
      <c r="W9" s="311"/>
      <c r="X9" s="61">
        <f>+'CES Operating &amp; EBITDA Margins'!X9+'CIS Operating &amp; EBITDA Margins'!X9</f>
        <v>13.905000000000008</v>
      </c>
    </row>
    <row r="10" spans="1:24" s="47" customFormat="1" ht="16.5" x14ac:dyDescent="0.25">
      <c r="A10" s="58" t="s">
        <v>27</v>
      </c>
      <c r="B10" s="61">
        <f>+'CES Operating &amp; EBITDA Margins'!B10+'CIS Operating &amp; EBITDA Margins'!B10</f>
        <v>37.372</v>
      </c>
      <c r="C10" s="61">
        <f>+'CES Operating &amp; EBITDA Margins'!C10+'CIS Operating &amp; EBITDA Margins'!C10</f>
        <v>38.216000000000001</v>
      </c>
      <c r="D10" s="106"/>
      <c r="E10" s="61">
        <f>+'CES Operating &amp; EBITDA Margins'!E10+'CIS Operating &amp; EBITDA Margins'!E10</f>
        <v>7.4260000000000002</v>
      </c>
      <c r="F10" s="61">
        <f>+'CES Operating &amp; EBITDA Margins'!F10+'CIS Operating &amp; EBITDA Margins'!F10</f>
        <v>5.52</v>
      </c>
      <c r="G10" s="61">
        <f>+'CES Operating &amp; EBITDA Margins'!G10+'CIS Operating &amp; EBITDA Margins'!G10</f>
        <v>5.9723000000000006</v>
      </c>
      <c r="H10" s="61">
        <f>+'CES Operating &amp; EBITDA Margins'!H10+'CIS Operating &amp; EBITDA Margins'!H10</f>
        <v>6.524</v>
      </c>
      <c r="I10" s="61"/>
      <c r="J10" s="61">
        <f>+'CES Operating &amp; EBITDA Margins'!J10+'CIS Operating &amp; EBITDA Margins'!J10</f>
        <v>25.402999999999999</v>
      </c>
      <c r="K10" s="61"/>
      <c r="L10" s="61">
        <f>+'CES Operating &amp; EBITDA Margins'!L10+'CIS Operating &amp; EBITDA Margins'!L10</f>
        <v>6.7069999999999999</v>
      </c>
      <c r="M10" s="61">
        <f>+'CES Operating &amp; EBITDA Margins'!M10+'CIS Operating &amp; EBITDA Margins'!M10</f>
        <v>5.5869999999999997</v>
      </c>
      <c r="N10" s="61">
        <f>+'CES Operating &amp; EBITDA Margins'!N10+'CIS Operating &amp; EBITDA Margins'!N10</f>
        <v>5.968</v>
      </c>
      <c r="O10" s="61">
        <f>+'CES Operating &amp; EBITDA Margins'!O10+'CIS Operating &amp; EBITDA Margins'!O10</f>
        <v>5.7219999999999995</v>
      </c>
      <c r="P10" s="111"/>
      <c r="Q10" s="61">
        <f>+'CES Operating &amp; EBITDA Margins'!Q10+'CIS Operating &amp; EBITDA Margins'!Q10</f>
        <v>23.983999999999998</v>
      </c>
      <c r="R10" s="106"/>
      <c r="S10" s="61">
        <f>+'CES Operating &amp; EBITDA Margins'!S10+'CIS Operating &amp; EBITDA Margins'!S10</f>
        <v>4.609</v>
      </c>
      <c r="T10" s="61">
        <f>+'CES Operating &amp; EBITDA Margins'!T10+'CIS Operating &amp; EBITDA Margins'!T10</f>
        <v>4.4279999999999999</v>
      </c>
      <c r="U10" s="61">
        <f>+'CES Operating &amp; EBITDA Margins'!U10+'CIS Operating &amp; EBITDA Margins'!U10</f>
        <v>4.2699999999999996</v>
      </c>
      <c r="V10" s="61">
        <f>+'CES Operating &amp; EBITDA Margins'!V10+'CIS Operating &amp; EBITDA Margins'!V10</f>
        <v>5.5979999999999999</v>
      </c>
      <c r="W10" s="311"/>
      <c r="X10" s="61">
        <f>+'CES Operating &amp; EBITDA Margins'!X10+'CIS Operating &amp; EBITDA Margins'!X10</f>
        <v>18.905000000000001</v>
      </c>
    </row>
    <row r="11" spans="1:24" s="47" customFormat="1" ht="16.5" x14ac:dyDescent="0.25">
      <c r="A11" s="58" t="s">
        <v>10</v>
      </c>
      <c r="B11" s="61">
        <f>+'CES Operating &amp; EBITDA Margins'!B11+'CIS Operating &amp; EBITDA Margins'!B11</f>
        <v>44.088999999999999</v>
      </c>
      <c r="C11" s="61">
        <f>+'CES Operating &amp; EBITDA Margins'!C11+'CIS Operating &amp; EBITDA Margins'!C11</f>
        <v>34.199999999999996</v>
      </c>
      <c r="D11" s="106"/>
      <c r="E11" s="61">
        <f>+'CES Operating &amp; EBITDA Margins'!E11+'CIS Operating &amp; EBITDA Margins'!E11</f>
        <v>7.7</v>
      </c>
      <c r="F11" s="61">
        <f>+'CES Operating &amp; EBITDA Margins'!F11+'CIS Operating &amp; EBITDA Margins'!F11</f>
        <v>7.3999999999999995</v>
      </c>
      <c r="G11" s="61">
        <f>+'CES Operating &amp; EBITDA Margins'!G11+'CIS Operating &amp; EBITDA Margins'!G11</f>
        <v>7.5</v>
      </c>
      <c r="H11" s="61">
        <f>+'CES Operating &amp; EBITDA Margins'!H11+'CIS Operating &amp; EBITDA Margins'!H11</f>
        <v>8.2999999999999989</v>
      </c>
      <c r="I11" s="61"/>
      <c r="J11" s="61">
        <f>+'CES Operating &amp; EBITDA Margins'!J11+'CIS Operating &amp; EBITDA Margins'!J11</f>
        <v>31</v>
      </c>
      <c r="K11" s="61"/>
      <c r="L11" s="61">
        <f>+'CES Operating &amp; EBITDA Margins'!L11+'CIS Operating &amp; EBITDA Margins'!L11</f>
        <v>7.6999999999999993</v>
      </c>
      <c r="M11" s="61">
        <f>+'CES Operating &amp; EBITDA Margins'!M11+'CIS Operating &amp; EBITDA Margins'!M11</f>
        <v>7.609</v>
      </c>
      <c r="N11" s="61">
        <f>+'CES Operating &amp; EBITDA Margins'!N11+'CIS Operating &amp; EBITDA Margins'!N11</f>
        <v>7.7779999999999996</v>
      </c>
      <c r="O11" s="61">
        <f>+'CES Operating &amp; EBITDA Margins'!O11+'CIS Operating &amp; EBITDA Margins'!O11</f>
        <v>8.3279999999999994</v>
      </c>
      <c r="P11" s="111"/>
      <c r="Q11" s="61">
        <f>+'CES Operating &amp; EBITDA Margins'!Q11+'CIS Operating &amp; EBITDA Margins'!Q11</f>
        <v>31.457999999999998</v>
      </c>
      <c r="R11" s="106"/>
      <c r="S11" s="61">
        <f>+'CES Operating &amp; EBITDA Margins'!S11+'CIS Operating &amp; EBITDA Margins'!S11</f>
        <v>8.0649999999999995</v>
      </c>
      <c r="T11" s="61">
        <f>+'CES Operating &amp; EBITDA Margins'!T11+'CIS Operating &amp; EBITDA Margins'!T11</f>
        <v>8.0579999999999998</v>
      </c>
      <c r="U11" s="61">
        <f>+'CES Operating &amp; EBITDA Margins'!U11+'CIS Operating &amp; EBITDA Margins'!U11</f>
        <v>8.1059999999999999</v>
      </c>
      <c r="V11" s="61">
        <f>+'CES Operating &amp; EBITDA Margins'!V11+'CIS Operating &amp; EBITDA Margins'!V11</f>
        <v>6.766</v>
      </c>
      <c r="W11" s="311"/>
      <c r="X11" s="61">
        <f>+'CES Operating &amp; EBITDA Margins'!X11+'CIS Operating &amp; EBITDA Margins'!X11</f>
        <v>30.995000000000005</v>
      </c>
    </row>
    <row r="12" spans="1:24" s="47" customFormat="1" ht="16.5" x14ac:dyDescent="0.25">
      <c r="A12" s="58" t="s">
        <v>7</v>
      </c>
      <c r="B12" s="121">
        <f>+'CES Operating &amp; EBITDA Margins'!B12+'CIS Operating &amp; EBITDA Margins'!B12</f>
        <v>65.608000000000004</v>
      </c>
      <c r="C12" s="121">
        <f>+'CES Operating &amp; EBITDA Margins'!C12+'CIS Operating &amp; EBITDA Margins'!C12</f>
        <v>69.356999999999999</v>
      </c>
      <c r="E12" s="121">
        <f>+'CES Operating &amp; EBITDA Margins'!E12+'CIS Operating &amp; EBITDA Margins'!E12</f>
        <v>16.404</v>
      </c>
      <c r="F12" s="121">
        <f>+'CES Operating &amp; EBITDA Margins'!F12+'CIS Operating &amp; EBITDA Margins'!F12</f>
        <v>17.480999999999998</v>
      </c>
      <c r="G12" s="121">
        <f>+'CES Operating &amp; EBITDA Margins'!G12+'CIS Operating &amp; EBITDA Margins'!G12</f>
        <v>16.582999999999998</v>
      </c>
      <c r="H12" s="121">
        <f>+'CES Operating &amp; EBITDA Margins'!H12+'CIS Operating &amp; EBITDA Margins'!H12</f>
        <v>16.193999999999999</v>
      </c>
      <c r="J12" s="121">
        <f>+'CES Operating &amp; EBITDA Margins'!J12+'CIS Operating &amp; EBITDA Margins'!J12</f>
        <v>66.652000000000001</v>
      </c>
      <c r="L12" s="121">
        <f>+'CES Operating &amp; EBITDA Margins'!L12+'CIS Operating &amp; EBITDA Margins'!L12</f>
        <v>17.109000000000002</v>
      </c>
      <c r="M12" s="121">
        <f>+'CES Operating &amp; EBITDA Margins'!M12+'CIS Operating &amp; EBITDA Margins'!M12</f>
        <v>20.552</v>
      </c>
      <c r="N12" s="121">
        <f>+'CES Operating &amp; EBITDA Margins'!N12+'CIS Operating &amp; EBITDA Margins'!N12</f>
        <v>18.558999999999997</v>
      </c>
      <c r="O12" s="121">
        <f>+'CES Operating &amp; EBITDA Margins'!O12+'CIS Operating &amp; EBITDA Margins'!O12</f>
        <v>26.484999999999999</v>
      </c>
      <c r="P12" s="121"/>
      <c r="Q12" s="121">
        <f>+'CES Operating &amp; EBITDA Margins'!Q12+'CIS Operating &amp; EBITDA Margins'!Q12</f>
        <v>82.698000000000008</v>
      </c>
      <c r="S12" s="121">
        <f>+'CES Operating &amp; EBITDA Margins'!S12+'CIS Operating &amp; EBITDA Margins'!S12</f>
        <v>14.183999999999999</v>
      </c>
      <c r="T12" s="121">
        <f>+'CES Operating &amp; EBITDA Margins'!T12+'CIS Operating &amp; EBITDA Margins'!T12</f>
        <v>17.396999999999998</v>
      </c>
      <c r="U12" s="121">
        <f>+'CES Operating &amp; EBITDA Margins'!U12+'CIS Operating &amp; EBITDA Margins'!U12</f>
        <v>20.006999999999998</v>
      </c>
      <c r="V12" s="121">
        <f>+'CES Operating &amp; EBITDA Margins'!V12+'CIS Operating &amp; EBITDA Margins'!V12</f>
        <v>10.844999999999999</v>
      </c>
      <c r="W12" s="306"/>
      <c r="X12" s="121">
        <f>+'CES Operating &amp; EBITDA Margins'!X12+'CIS Operating &amp; EBITDA Margins'!X12</f>
        <v>62.433</v>
      </c>
    </row>
    <row r="13" spans="1:24" s="47" customFormat="1" ht="16.5" x14ac:dyDescent="0.25">
      <c r="A13" s="58" t="s">
        <v>96</v>
      </c>
      <c r="B13" s="121">
        <f>+'CES Operating &amp; EBITDA Margins'!B13+'CIS Operating &amp; EBITDA Margins'!B13</f>
        <v>12.885000000000002</v>
      </c>
      <c r="C13" s="121">
        <f>+'CES Operating &amp; EBITDA Margins'!C13+'CIS Operating &amp; EBITDA Margins'!C13</f>
        <v>1.6</v>
      </c>
      <c r="E13" s="121">
        <f>+'CES Operating &amp; EBITDA Margins'!E13+'CIS Operating &amp; EBITDA Margins'!E13</f>
        <v>2.2999999999999998</v>
      </c>
      <c r="F13" s="121">
        <f>+'CES Operating &amp; EBITDA Margins'!F13+'CIS Operating &amp; EBITDA Margins'!F13</f>
        <v>0.1</v>
      </c>
      <c r="G13" s="121">
        <f>+'CES Operating &amp; EBITDA Margins'!G13+'CIS Operating &amp; EBITDA Margins'!G13</f>
        <v>1.9</v>
      </c>
      <c r="H13" s="121">
        <f>+'CES Operating &amp; EBITDA Margins'!H13+'CIS Operating &amp; EBITDA Margins'!H13</f>
        <v>5.5930000000000009</v>
      </c>
      <c r="J13" s="121">
        <f>+'CES Operating &amp; EBITDA Margins'!J13+'CIS Operating &amp; EBITDA Margins'!J13</f>
        <v>9.9260000000000002</v>
      </c>
      <c r="L13" s="121">
        <f>+'CES Operating &amp; EBITDA Margins'!L13+'CIS Operating &amp; EBITDA Margins'!L13</f>
        <v>4</v>
      </c>
      <c r="M13" s="121">
        <f>+'CES Operating &amp; EBITDA Margins'!M13+'CIS Operating &amp; EBITDA Margins'!M13</f>
        <v>2.532</v>
      </c>
      <c r="N13" s="121">
        <f>+'CES Operating &amp; EBITDA Margins'!N13+'CIS Operating &amp; EBITDA Margins'!N13</f>
        <v>2.198</v>
      </c>
      <c r="O13" s="121">
        <f>+'CES Operating &amp; EBITDA Margins'!O13+'CIS Operating &amp; EBITDA Margins'!O13</f>
        <v>2.359</v>
      </c>
      <c r="P13" s="121"/>
      <c r="Q13" s="121">
        <f>+'CES Operating &amp; EBITDA Margins'!Q13+'CIS Operating &amp; EBITDA Margins'!Q13</f>
        <v>10.936</v>
      </c>
      <c r="S13" s="121">
        <f>+'CES Operating &amp; EBITDA Margins'!S13+'CIS Operating &amp; EBITDA Margins'!S13</f>
        <v>-3.3149999999999995</v>
      </c>
      <c r="T13" s="121">
        <f>+'CES Operating &amp; EBITDA Margins'!T13+'CIS Operating &amp; EBITDA Margins'!T13</f>
        <v>2.6110000000000002</v>
      </c>
      <c r="U13" s="121">
        <f>+'CES Operating &amp; EBITDA Margins'!U13+'CIS Operating &amp; EBITDA Margins'!U13</f>
        <v>-1.256</v>
      </c>
      <c r="V13" s="121">
        <f>+'CES Operating &amp; EBITDA Margins'!V13+'CIS Operating &amp; EBITDA Margins'!V13</f>
        <v>4.07</v>
      </c>
      <c r="W13" s="306"/>
      <c r="X13" s="121">
        <f>+'CES Operating &amp; EBITDA Margins'!X13+'CIS Operating &amp; EBITDA Margins'!X13</f>
        <v>2.1100000000000003</v>
      </c>
    </row>
    <row r="14" spans="1:24" s="47" customFormat="1" ht="16.5" x14ac:dyDescent="0.25">
      <c r="A14" s="58" t="s">
        <v>19</v>
      </c>
      <c r="B14" s="121">
        <f>+'CES Operating &amp; EBITDA Margins'!B14+'CIS Operating &amp; EBITDA Margins'!B14</f>
        <v>15.742999999999999</v>
      </c>
      <c r="C14" s="121">
        <f>+'CES Operating &amp; EBITDA Margins'!C14+'CIS Operating &amp; EBITDA Margins'!C14</f>
        <v>13.399999999999999</v>
      </c>
      <c r="E14" s="121">
        <f>+'CES Operating &amp; EBITDA Margins'!E14+'CIS Operating &amp; EBITDA Margins'!E14</f>
        <v>1.1000000000000001</v>
      </c>
      <c r="F14" s="121">
        <f>+'CES Operating &amp; EBITDA Margins'!F14+'CIS Operating &amp; EBITDA Margins'!F14</f>
        <v>0.9</v>
      </c>
      <c r="G14" s="121">
        <f>+'CES Operating &amp; EBITDA Margins'!G14+'CIS Operating &amp; EBITDA Margins'!G14</f>
        <v>1.0569999999999999</v>
      </c>
      <c r="H14" s="121">
        <f>+'CES Operating &amp; EBITDA Margins'!H14+'CIS Operating &amp; EBITDA Margins'!H14</f>
        <v>1.8380000000000001</v>
      </c>
      <c r="J14" s="121">
        <f>+'CES Operating &amp; EBITDA Margins'!J14+'CIS Operating &amp; EBITDA Margins'!J14</f>
        <v>4.9119999999999999</v>
      </c>
      <c r="L14" s="121">
        <f>+'CES Operating &amp; EBITDA Margins'!L14+'CIS Operating &amp; EBITDA Margins'!L14</f>
        <v>1.4</v>
      </c>
      <c r="M14" s="121">
        <f>+'CES Operating &amp; EBITDA Margins'!M14+'CIS Operating &amp; EBITDA Margins'!M14</f>
        <v>1.641</v>
      </c>
      <c r="N14" s="121">
        <f>+'CES Operating &amp; EBITDA Margins'!N14+'CIS Operating &amp; EBITDA Margins'!N14</f>
        <v>2.073</v>
      </c>
      <c r="O14" s="121">
        <f>+'CES Operating &amp; EBITDA Margins'!O14+'CIS Operating &amp; EBITDA Margins'!O14</f>
        <v>1.4220000000000002</v>
      </c>
      <c r="P14" s="121"/>
      <c r="Q14" s="121">
        <f>+'CES Operating &amp; EBITDA Margins'!Q14+'CIS Operating &amp; EBITDA Margins'!Q14</f>
        <v>6.5690000000000008</v>
      </c>
      <c r="S14" s="121">
        <f>+'CES Operating &amp; EBITDA Margins'!S14+'CIS Operating &amp; EBITDA Margins'!S14</f>
        <v>5.4809999999999999</v>
      </c>
      <c r="T14" s="121">
        <f>+'CES Operating &amp; EBITDA Margins'!T14+'CIS Operating &amp; EBITDA Margins'!T14</f>
        <v>0.90500000000000003</v>
      </c>
      <c r="U14" s="121">
        <f>+'CES Operating &amp; EBITDA Margins'!U14+'CIS Operating &amp; EBITDA Margins'!U14</f>
        <v>1.256</v>
      </c>
      <c r="V14" s="121">
        <f>+'CES Operating &amp; EBITDA Margins'!V14+'CIS Operating &amp; EBITDA Margins'!V14</f>
        <v>4.625</v>
      </c>
      <c r="W14" s="306"/>
      <c r="X14" s="121">
        <f>+'CES Operating &amp; EBITDA Margins'!X14+'CIS Operating &amp; EBITDA Margins'!X14</f>
        <v>12.266999999999999</v>
      </c>
    </row>
    <row r="15" spans="1:24" s="47" customFormat="1" ht="16.5" x14ac:dyDescent="0.25">
      <c r="A15" s="58" t="s">
        <v>317</v>
      </c>
      <c r="B15" s="121">
        <f>+'CES Operating &amp; EBITDA Margins'!B15+'CIS Operating &amp; EBITDA Margins'!B15</f>
        <v>0.58099999999999996</v>
      </c>
      <c r="C15" s="121">
        <f>+'CES Operating &amp; EBITDA Margins'!C15+'CIS Operating &amp; EBITDA Margins'!C15</f>
        <v>1.29</v>
      </c>
      <c r="E15" s="121">
        <f>+'CES Operating &amp; EBITDA Margins'!E15+'CIS Operating &amp; EBITDA Margins'!E15</f>
        <v>9.6000000000000002E-2</v>
      </c>
      <c r="F15" s="121">
        <f>+'CES Operating &amp; EBITDA Margins'!F15+'CIS Operating &amp; EBITDA Margins'!F15</f>
        <v>0.14799999999999999</v>
      </c>
      <c r="G15" s="121">
        <f>+'CES Operating &amp; EBITDA Margins'!G15+'CIS Operating &amp; EBITDA Margins'!G15</f>
        <v>4.2000000000000003E-2</v>
      </c>
      <c r="H15" s="121">
        <f>+'CES Operating &amp; EBITDA Margins'!H15+'CIS Operating &amp; EBITDA Margins'!H15</f>
        <v>2.4E-2</v>
      </c>
      <c r="J15" s="121">
        <f>+'CES Operating &amp; EBITDA Margins'!J15+'CIS Operating &amp; EBITDA Margins'!J15</f>
        <v>0.31</v>
      </c>
      <c r="L15" s="121">
        <f>+'CES Operating &amp; EBITDA Margins'!L15+'CIS Operating &amp; EBITDA Margins'!L15</f>
        <v>3.0000000000000001E-3</v>
      </c>
      <c r="M15" s="121">
        <f>+'CES Operating &amp; EBITDA Margins'!M15+'CIS Operating &amp; EBITDA Margins'!M15</f>
        <v>0.22299999999999998</v>
      </c>
      <c r="N15" s="121">
        <f>+'CES Operating &amp; EBITDA Margins'!N15+'CIS Operating &amp; EBITDA Margins'!N15</f>
        <v>1.4790000000000001</v>
      </c>
      <c r="O15" s="121">
        <f>+'CES Operating &amp; EBITDA Margins'!O15+'CIS Operating &amp; EBITDA Margins'!O15</f>
        <v>3.5830000000000002</v>
      </c>
      <c r="P15" s="121"/>
      <c r="Q15" s="121">
        <f>+'CES Operating &amp; EBITDA Margins'!Q15+'CIS Operating &amp; EBITDA Margins'!Q15</f>
        <v>5.2880000000000003</v>
      </c>
      <c r="S15" s="121">
        <f>+'CES Operating &amp; EBITDA Margins'!S15+'CIS Operating &amp; EBITDA Margins'!S15</f>
        <v>7.7750000000000004</v>
      </c>
      <c r="T15" s="121">
        <f>+'CES Operating &amp; EBITDA Margins'!T15+'CIS Operating &amp; EBITDA Margins'!T15</f>
        <v>6.3469999999999995</v>
      </c>
      <c r="U15" s="121">
        <f>+'CES Operating &amp; EBITDA Margins'!U15+'CIS Operating &amp; EBITDA Margins'!U15</f>
        <v>13.750000000000002</v>
      </c>
      <c r="V15" s="121">
        <f>+'CES Operating &amp; EBITDA Margins'!V15+'CIS Operating &amp; EBITDA Margins'!V15</f>
        <v>19.835000000000001</v>
      </c>
      <c r="W15" s="306"/>
      <c r="X15" s="121">
        <f>+'CES Operating &amp; EBITDA Margins'!X15+'CIS Operating &amp; EBITDA Margins'!X15</f>
        <v>47.707000000000008</v>
      </c>
    </row>
    <row r="16" spans="1:24" s="47" customFormat="1" ht="16.5" x14ac:dyDescent="0.25">
      <c r="A16" s="58" t="s">
        <v>20</v>
      </c>
      <c r="B16" s="121">
        <f>+'CES Operating &amp; EBITDA Margins'!B16+'CIS Operating &amp; EBITDA Margins'!B16</f>
        <v>0</v>
      </c>
      <c r="C16" s="121">
        <f>+'CES Operating &amp; EBITDA Margins'!C16+'CIS Operating &amp; EBITDA Margins'!C16</f>
        <v>3.3000000000000003</v>
      </c>
      <c r="E16" s="121">
        <f>+'CES Operating &amp; EBITDA Margins'!E16+'CIS Operating &amp; EBITDA Margins'!E16</f>
        <v>0</v>
      </c>
      <c r="F16" s="121">
        <f>+'CES Operating &amp; EBITDA Margins'!F16+'CIS Operating &amp; EBITDA Margins'!F16</f>
        <v>0</v>
      </c>
      <c r="G16" s="121">
        <f>+'CES Operating &amp; EBITDA Margins'!G16+'CIS Operating &amp; EBITDA Margins'!G16</f>
        <v>0</v>
      </c>
      <c r="H16" s="121">
        <f>+'CES Operating &amp; EBITDA Margins'!H16+'CIS Operating &amp; EBITDA Margins'!H16</f>
        <v>0</v>
      </c>
      <c r="J16" s="121">
        <f>+'CES Operating &amp; EBITDA Margins'!J16+'CIS Operating &amp; EBITDA Margins'!J16</f>
        <v>0</v>
      </c>
      <c r="L16" s="121">
        <f>+'CES Operating &amp; EBITDA Margins'!L16+'CIS Operating &amp; EBITDA Margins'!L16</f>
        <v>0</v>
      </c>
      <c r="M16" s="121">
        <f>+'CES Operating &amp; EBITDA Margins'!M16+'CIS Operating &amp; EBITDA Margins'!M16</f>
        <v>0</v>
      </c>
      <c r="N16" s="121">
        <f>+'CES Operating &amp; EBITDA Margins'!N16+'CIS Operating &amp; EBITDA Margins'!N16</f>
        <v>0</v>
      </c>
      <c r="O16" s="121">
        <f>+'CES Operating &amp; EBITDA Margins'!O16+'CIS Operating &amp; EBITDA Margins'!O16</f>
        <v>0</v>
      </c>
      <c r="P16" s="121"/>
      <c r="Q16" s="121">
        <f>+'CES Operating &amp; EBITDA Margins'!Q16+'CIS Operating &amp; EBITDA Margins'!Q16</f>
        <v>0</v>
      </c>
      <c r="S16" s="121">
        <f>+'CES Operating &amp; EBITDA Margins'!S16+'CIS Operating &amp; EBITDA Margins'!S16</f>
        <v>0</v>
      </c>
      <c r="T16" s="121">
        <f>+'CES Operating &amp; EBITDA Margins'!T16+'CIS Operating &amp; EBITDA Margins'!T16</f>
        <v>0</v>
      </c>
      <c r="U16" s="121">
        <f>+'CES Operating &amp; EBITDA Margins'!U16+'CIS Operating &amp; EBITDA Margins'!U16</f>
        <v>0.14500000000000002</v>
      </c>
      <c r="V16" s="121">
        <f>+'CES Operating &amp; EBITDA Margins'!V16+'CIS Operating &amp; EBITDA Margins'!V16</f>
        <v>0.35699999999999998</v>
      </c>
      <c r="W16" s="306"/>
      <c r="X16" s="121">
        <f>+'CES Operating &amp; EBITDA Margins'!X16+'CIS Operating &amp; EBITDA Margins'!X16</f>
        <v>0.502</v>
      </c>
    </row>
    <row r="17" spans="1:24" s="47" customFormat="1" ht="16.5" x14ac:dyDescent="0.25">
      <c r="A17" s="58" t="s">
        <v>6</v>
      </c>
      <c r="B17" s="104">
        <f>+'CES Operating &amp; EBITDA Margins'!B17+'CIS Operating &amp; EBITDA Margins'!B17</f>
        <v>0.38800000000000001</v>
      </c>
      <c r="C17" s="104">
        <f>+'CES Operating &amp; EBITDA Margins'!C17+'CIS Operating &amp; EBITDA Margins'!C17</f>
        <v>0.81</v>
      </c>
      <c r="E17" s="104">
        <f>+'CES Operating &amp; EBITDA Margins'!E17+'CIS Operating &amp; EBITDA Margins'!E17</f>
        <v>0.504</v>
      </c>
      <c r="F17" s="104">
        <f>+'CES Operating &amp; EBITDA Margins'!F17+'CIS Operating &amp; EBITDA Margins'!F17</f>
        <v>0.45200000000000007</v>
      </c>
      <c r="G17" s="104">
        <f>+'CES Operating &amp; EBITDA Margins'!G17+'CIS Operating &amp; EBITDA Margins'!G17</f>
        <v>-1.54</v>
      </c>
      <c r="H17" s="104">
        <f>+'CES Operating &amp; EBITDA Margins'!H17+'CIS Operating &amp; EBITDA Margins'!H17</f>
        <v>-0.379</v>
      </c>
      <c r="I17" s="121"/>
      <c r="J17" s="104">
        <f>+'CES Operating &amp; EBITDA Margins'!J17+'CIS Operating &amp; EBITDA Margins'!J17</f>
        <v>-0.94300000000000006</v>
      </c>
      <c r="L17" s="104">
        <f>+'CES Operating &amp; EBITDA Margins'!L17+'CIS Operating &amp; EBITDA Margins'!L17</f>
        <v>1.9969999999999999</v>
      </c>
      <c r="M17" s="104">
        <f>+'CES Operating &amp; EBITDA Margins'!M17+'CIS Operating &amp; EBITDA Margins'!M17</f>
        <v>5.5090000000000003</v>
      </c>
      <c r="N17" s="104">
        <f>+'CES Operating &amp; EBITDA Margins'!N17+'CIS Operating &amp; EBITDA Margins'!N17</f>
        <v>0.35100000000000009</v>
      </c>
      <c r="O17" s="104">
        <f>+'CES Operating &amp; EBITDA Margins'!O17+'CIS Operating &amp; EBITDA Margins'!O17</f>
        <v>2.222</v>
      </c>
      <c r="P17" s="121"/>
      <c r="Q17" s="104">
        <f>+'CES Operating &amp; EBITDA Margins'!Q17+'CIS Operating &amp; EBITDA Margins'!Q17</f>
        <v>10.137</v>
      </c>
      <c r="S17" s="104">
        <f>+'CES Operating &amp; EBITDA Margins'!S17+'CIS Operating &amp; EBITDA Margins'!S17</f>
        <v>9.2999999999999999E-2</v>
      </c>
      <c r="T17" s="104">
        <f>+'CES Operating &amp; EBITDA Margins'!T17+'CIS Operating &amp; EBITDA Margins'!T17</f>
        <v>-1.212</v>
      </c>
      <c r="U17" s="104">
        <f>+'CES Operating &amp; EBITDA Margins'!U17+'CIS Operating &amp; EBITDA Margins'!U17</f>
        <v>-6.9000000000000006E-2</v>
      </c>
      <c r="V17" s="104">
        <f>+'CES Operating &amp; EBITDA Margins'!V17+'CIS Operating &amp; EBITDA Margins'!V17</f>
        <v>0.44500000000000006</v>
      </c>
      <c r="W17" s="306"/>
      <c r="X17" s="104">
        <f>+'CES Operating &amp; EBITDA Margins'!X17+'CIS Operating &amp; EBITDA Margins'!X17</f>
        <v>-0.74299999999999999</v>
      </c>
    </row>
    <row r="18" spans="1:24" s="47" customFormat="1" ht="33" x14ac:dyDescent="0.25">
      <c r="A18" s="114" t="s">
        <v>228</v>
      </c>
      <c r="B18" s="68">
        <f>SUM(B9:B17)+B6</f>
        <v>204.62199999999996</v>
      </c>
      <c r="C18" s="68">
        <f>SUM(C9:C17)+C6</f>
        <v>226.07300000000001</v>
      </c>
      <c r="E18" s="68">
        <f>SUM(E9:E17)+E6</f>
        <v>46.129999999999995</v>
      </c>
      <c r="F18" s="68">
        <f>SUM(F9:F17)+F6</f>
        <v>63.400999999999996</v>
      </c>
      <c r="G18" s="68">
        <f>SUM(G9:G17)+G6</f>
        <v>69.214300000000009</v>
      </c>
      <c r="H18" s="68">
        <f>SUM(H9:H17)+H6</f>
        <v>88.194000000000017</v>
      </c>
      <c r="J18" s="68">
        <f>SUM(J9:J17)+J6</f>
        <v>266.85999999999996</v>
      </c>
      <c r="L18" s="68">
        <f>SUM(L9:L17)+L6</f>
        <v>62.315999999999995</v>
      </c>
      <c r="M18" s="68">
        <f>SUM(M9:M17)+M6</f>
        <v>65.920999999999992</v>
      </c>
      <c r="N18" s="68">
        <f>SUM(N9:N17)+N6</f>
        <v>74.436000000000007</v>
      </c>
      <c r="O18" s="68">
        <f>SUM(O9:O17)+O6</f>
        <v>88.675999999999988</v>
      </c>
      <c r="P18" s="106"/>
      <c r="Q18" s="68">
        <f>SUM(Q9:Q17)+Q6</f>
        <v>291.30900000000003</v>
      </c>
      <c r="S18" s="68">
        <f>SUM(S9:S17)+S6</f>
        <v>47.420000000000009</v>
      </c>
      <c r="T18" s="96">
        <f>SUM(T9:T17)+T6</f>
        <v>85.155000000000001</v>
      </c>
      <c r="U18" s="96">
        <f>SUM(U9:U17)+U6</f>
        <v>86.869</v>
      </c>
      <c r="V18" s="96">
        <f>SUM(V9:V17)+V6</f>
        <v>77.341999999999999</v>
      </c>
      <c r="W18" s="306"/>
      <c r="X18" s="96">
        <f>SUM(X9:X17)+X6</f>
        <v>296.78600000000006</v>
      </c>
    </row>
    <row r="19" spans="1:24" s="47" customFormat="1" ht="16.5" x14ac:dyDescent="0.25">
      <c r="A19" s="58" t="s">
        <v>207</v>
      </c>
      <c r="B19" s="104">
        <f>+'CES Operating &amp; EBITDA Margins'!B19+'CIS Operating &amp; EBITDA Margins'!B19</f>
        <v>28.841999999999999</v>
      </c>
      <c r="C19" s="104">
        <f>+'CES Operating &amp; EBITDA Margins'!C19+'CIS Operating &amp; EBITDA Margins'!C19</f>
        <v>30.5</v>
      </c>
      <c r="E19" s="104">
        <f>+'CES Operating &amp; EBITDA Margins'!E19+'CIS Operating &amp; EBITDA Margins'!E19</f>
        <v>8.1999999999999993</v>
      </c>
      <c r="F19" s="104">
        <f>+'CES Operating &amp; EBITDA Margins'!F19+'CIS Operating &amp; EBITDA Margins'!F19</f>
        <v>7.3</v>
      </c>
      <c r="G19" s="104">
        <f>+'CES Operating &amp; EBITDA Margins'!G19+'CIS Operating &amp; EBITDA Margins'!G19</f>
        <v>7.1</v>
      </c>
      <c r="H19" s="104">
        <f>+'CES Operating &amp; EBITDA Margins'!H19+'CIS Operating &amp; EBITDA Margins'!H19</f>
        <v>7.2</v>
      </c>
      <c r="J19" s="104">
        <f>+'CES Operating &amp; EBITDA Margins'!J19+'CIS Operating &amp; EBITDA Margins'!J19</f>
        <v>29.799999999999997</v>
      </c>
      <c r="L19" s="104">
        <f>+'CES Operating &amp; EBITDA Margins'!L19+'CIS Operating &amp; EBITDA Margins'!L19</f>
        <v>7.8</v>
      </c>
      <c r="M19" s="104">
        <f>+'CES Operating &amp; EBITDA Margins'!M19+'CIS Operating &amp; EBITDA Margins'!M19</f>
        <v>7.8999999999999995</v>
      </c>
      <c r="N19" s="104">
        <f>+'CES Operating &amp; EBITDA Margins'!N19+'CIS Operating &amp; EBITDA Margins'!N19</f>
        <v>8.6739999999999995</v>
      </c>
      <c r="O19" s="104">
        <f>+'CES Operating &amp; EBITDA Margins'!O19+'CIS Operating &amp; EBITDA Margins'!O19</f>
        <v>8.9</v>
      </c>
      <c r="P19" s="121"/>
      <c r="Q19" s="104">
        <f>+'CES Operating &amp; EBITDA Margins'!Q19+'CIS Operating &amp; EBITDA Margins'!Q19</f>
        <v>33.338999999999999</v>
      </c>
      <c r="S19" s="104">
        <f>+'CES Operating &amp; EBITDA Margins'!S19+'CIS Operating &amp; EBITDA Margins'!S19</f>
        <v>10.558</v>
      </c>
      <c r="T19" s="104">
        <f>+'CES Operating &amp; EBITDA Margins'!T19+'CIS Operating &amp; EBITDA Margins'!T19</f>
        <v>10.632</v>
      </c>
      <c r="U19" s="104">
        <f>+'CES Operating &amp; EBITDA Margins'!U19+'CIS Operating &amp; EBITDA Margins'!U19</f>
        <v>10.26</v>
      </c>
      <c r="V19" s="104">
        <f>+'CES Operating &amp; EBITDA Margins'!V19+'CIS Operating &amp; EBITDA Margins'!V19</f>
        <v>10.222999999999999</v>
      </c>
      <c r="W19" s="306"/>
      <c r="X19" s="104">
        <f>+'CES Operating &amp; EBITDA Margins'!X19+'CIS Operating &amp; EBITDA Margins'!X19</f>
        <v>41.673000000000002</v>
      </c>
    </row>
    <row r="20" spans="1:24" s="90" customFormat="1" ht="16.5" x14ac:dyDescent="0.25">
      <c r="A20" s="125" t="s">
        <v>37</v>
      </c>
      <c r="B20" s="88">
        <f>+B18+B19</f>
        <v>233.46399999999994</v>
      </c>
      <c r="C20" s="88">
        <f>+C18+C19</f>
        <v>256.57299999999998</v>
      </c>
      <c r="E20" s="88">
        <f>+E18+E19</f>
        <v>54.33</v>
      </c>
      <c r="F20" s="88">
        <f>+F18+F19</f>
        <v>70.700999999999993</v>
      </c>
      <c r="G20" s="88">
        <f>+G18+G19</f>
        <v>76.314300000000003</v>
      </c>
      <c r="H20" s="88">
        <f>+H18+H19</f>
        <v>95.39400000000002</v>
      </c>
      <c r="J20" s="88">
        <f>+J18+J19</f>
        <v>296.65999999999997</v>
      </c>
      <c r="L20" s="88">
        <f>+L18+L19</f>
        <v>70.116</v>
      </c>
      <c r="M20" s="88">
        <f>+M18+M19</f>
        <v>73.820999999999998</v>
      </c>
      <c r="N20" s="88">
        <f>+N18+N19</f>
        <v>83.110000000000014</v>
      </c>
      <c r="O20" s="88">
        <f>+O18+O19</f>
        <v>97.575999999999993</v>
      </c>
      <c r="P20" s="127"/>
      <c r="Q20" s="88">
        <f>+Q18+Q19</f>
        <v>324.64800000000002</v>
      </c>
      <c r="S20" s="88">
        <f>+S18+S19</f>
        <v>57.978000000000009</v>
      </c>
      <c r="T20" s="88">
        <f>+T18+T19</f>
        <v>95.787000000000006</v>
      </c>
      <c r="U20" s="88">
        <f>+U18+U19</f>
        <v>97.129000000000005</v>
      </c>
      <c r="V20" s="88">
        <f>+V18+V19</f>
        <v>87.564999999999998</v>
      </c>
      <c r="W20" s="312"/>
      <c r="X20" s="88">
        <f>+X18+X19</f>
        <v>338.45900000000006</v>
      </c>
    </row>
    <row r="21" spans="1:24" s="47" customFormat="1" ht="33" x14ac:dyDescent="0.25">
      <c r="A21" s="114" t="s">
        <v>232</v>
      </c>
      <c r="B21" s="128">
        <v>0.191</v>
      </c>
      <c r="C21" s="128">
        <v>0.19652325076053886</v>
      </c>
      <c r="D21" s="129"/>
      <c r="E21" s="128">
        <v>0.15787671232876713</v>
      </c>
      <c r="F21" s="128">
        <v>0.20551053484602916</v>
      </c>
      <c r="G21" s="128">
        <v>0.22467532467532464</v>
      </c>
      <c r="H21" s="128">
        <v>0.26195426195426186</v>
      </c>
      <c r="I21" s="129"/>
      <c r="J21" s="128">
        <v>0.2143602923459963</v>
      </c>
      <c r="K21" s="129"/>
      <c r="L21" s="128">
        <v>0.19216533004318323</v>
      </c>
      <c r="M21" s="128">
        <v>0.198913371566556</v>
      </c>
      <c r="N21" s="128">
        <v>0.22500000000000001</v>
      </c>
      <c r="O21" s="128">
        <v>0.254</v>
      </c>
      <c r="P21" s="131"/>
      <c r="Q21" s="128">
        <v>0.218</v>
      </c>
      <c r="S21" s="128">
        <v>0.16300000000000001</v>
      </c>
      <c r="T21" s="128">
        <v>0.27200000000000002</v>
      </c>
      <c r="U21" s="128">
        <v>0.26200000000000001</v>
      </c>
      <c r="V21" s="128">
        <v>0.22</v>
      </c>
      <c r="X21" s="128">
        <v>0.23</v>
      </c>
    </row>
    <row r="22" spans="1:24" s="47" customFormat="1" ht="16.5" x14ac:dyDescent="0.25">
      <c r="A22" s="114" t="s">
        <v>97</v>
      </c>
      <c r="B22" s="128">
        <v>0.218</v>
      </c>
      <c r="C22" s="128">
        <v>0.22303346371142979</v>
      </c>
      <c r="D22" s="129"/>
      <c r="E22" s="128">
        <v>0.18595890410958904</v>
      </c>
      <c r="F22" s="128">
        <v>0.22917341977309563</v>
      </c>
      <c r="G22" s="128">
        <v>0.24772727272727268</v>
      </c>
      <c r="H22" s="128">
        <v>0.28333828333828326</v>
      </c>
      <c r="I22" s="129"/>
      <c r="J22" s="128">
        <v>0.23829411292265681</v>
      </c>
      <c r="K22" s="129"/>
      <c r="L22" s="128">
        <v>0.21622455274521898</v>
      </c>
      <c r="M22" s="128">
        <v>0.22275882885602175</v>
      </c>
      <c r="N22" s="128">
        <v>0.251</v>
      </c>
      <c r="O22" s="128">
        <v>0.27900000000000003</v>
      </c>
      <c r="P22" s="131"/>
      <c r="Q22" s="128">
        <v>0.24299999999999999</v>
      </c>
      <c r="S22" s="128">
        <v>0.19900000000000001</v>
      </c>
      <c r="T22" s="128">
        <v>0.30599999999999999</v>
      </c>
      <c r="U22" s="128">
        <v>0.29299999999999998</v>
      </c>
      <c r="V22" s="128">
        <v>0.249</v>
      </c>
      <c r="X22" s="128">
        <v>0.26300000000000001</v>
      </c>
    </row>
    <row r="23" spans="1:24" s="47" customFormat="1" ht="16.5" x14ac:dyDescent="0.25">
      <c r="A23" s="114"/>
      <c r="B23" s="114"/>
      <c r="C23" s="68"/>
      <c r="D23" s="57"/>
      <c r="E23" s="68"/>
      <c r="F23" s="68"/>
      <c r="G23" s="68"/>
      <c r="H23" s="68"/>
      <c r="I23" s="57"/>
      <c r="J23" s="68"/>
      <c r="K23" s="57"/>
      <c r="L23" s="68"/>
      <c r="M23" s="68"/>
      <c r="N23" s="68"/>
      <c r="O23" s="68"/>
      <c r="P23" s="106"/>
      <c r="Q23" s="57"/>
      <c r="S23" s="68"/>
      <c r="T23" s="68"/>
      <c r="U23" s="68"/>
      <c r="V23" s="68"/>
      <c r="X23" s="57"/>
    </row>
    <row r="24" spans="1:24" s="8" customFormat="1" x14ac:dyDescent="0.2">
      <c r="A24" s="3"/>
      <c r="B24" s="3"/>
      <c r="F24" s="8" t="s">
        <v>11</v>
      </c>
    </row>
    <row r="25" spans="1:24" s="8" customFormat="1" x14ac:dyDescent="0.2">
      <c r="A25" s="3"/>
      <c r="B25" s="3"/>
    </row>
    <row r="26" spans="1:24" s="8" customFormat="1" x14ac:dyDescent="0.2">
      <c r="A26" s="3"/>
      <c r="B26" s="3"/>
    </row>
    <row r="27" spans="1:24" s="8" customFormat="1" x14ac:dyDescent="0.2">
      <c r="A27" s="3"/>
      <c r="B27" s="3"/>
    </row>
    <row r="28" spans="1:24" s="8" customFormat="1" x14ac:dyDescent="0.2">
      <c r="A28" s="3"/>
      <c r="B28" s="3"/>
      <c r="F28" s="8" t="s">
        <v>11</v>
      </c>
    </row>
    <row r="29" spans="1:24" s="8" customFormat="1" x14ac:dyDescent="0.2">
      <c r="A29" s="3"/>
      <c r="B29" s="3"/>
    </row>
    <row r="30" spans="1:24" s="8" customFormat="1" x14ac:dyDescent="0.2">
      <c r="A30" s="3"/>
      <c r="B30" s="3"/>
    </row>
    <row r="31" spans="1:24" s="8" customFormat="1" x14ac:dyDescent="0.2">
      <c r="A31" s="3"/>
      <c r="B31" s="3"/>
    </row>
    <row r="32" spans="1:24" s="8" customFormat="1" x14ac:dyDescent="0.2">
      <c r="A32" s="3"/>
      <c r="B32" s="3"/>
    </row>
    <row r="33" spans="1:2" s="8" customFormat="1" x14ac:dyDescent="0.2">
      <c r="A33" s="3"/>
      <c r="B33" s="3"/>
    </row>
    <row r="34" spans="1:2" s="8" customFormat="1" x14ac:dyDescent="0.2">
      <c r="A34" s="3"/>
      <c r="B34" s="3"/>
    </row>
    <row r="35" spans="1:2" s="8" customFormat="1" x14ac:dyDescent="0.2">
      <c r="A35" s="3"/>
      <c r="B35" s="3"/>
    </row>
    <row r="36" spans="1:2" s="8" customFormat="1" x14ac:dyDescent="0.2">
      <c r="A36" s="3"/>
      <c r="B36" s="3"/>
    </row>
    <row r="37" spans="1:2" s="8" customFormat="1" x14ac:dyDescent="0.2">
      <c r="A37" s="3"/>
      <c r="B37" s="3"/>
    </row>
    <row r="38" spans="1:2" s="8" customFormat="1" x14ac:dyDescent="0.2">
      <c r="A38" s="3"/>
      <c r="B38" s="3"/>
    </row>
    <row r="39" spans="1:2" s="8" customFormat="1" x14ac:dyDescent="0.2">
      <c r="A39" s="3"/>
      <c r="B39" s="3"/>
    </row>
    <row r="40" spans="1:2" s="8" customFormat="1" x14ac:dyDescent="0.2">
      <c r="A40" s="3"/>
      <c r="B40" s="3"/>
    </row>
    <row r="41" spans="1:2" s="8" customFormat="1" x14ac:dyDescent="0.2">
      <c r="A41" s="3"/>
      <c r="B41" s="3"/>
    </row>
    <row r="42" spans="1:2" s="8" customFormat="1" x14ac:dyDescent="0.2">
      <c r="A42" s="3"/>
      <c r="B42" s="3"/>
    </row>
    <row r="43" spans="1:2" s="8" customFormat="1" x14ac:dyDescent="0.2">
      <c r="A43" s="3"/>
      <c r="B43" s="3"/>
    </row>
    <row r="44" spans="1:2" s="8" customFormat="1" x14ac:dyDescent="0.2">
      <c r="A44" s="3"/>
      <c r="B44" s="3"/>
    </row>
    <row r="45" spans="1:2" s="8" customFormat="1" x14ac:dyDescent="0.2">
      <c r="A45" s="3"/>
      <c r="B45" s="3"/>
    </row>
    <row r="46" spans="1:2" s="8" customFormat="1" x14ac:dyDescent="0.2">
      <c r="A46" s="3"/>
      <c r="B46" s="3"/>
    </row>
    <row r="47" spans="1:2" s="8" customFormat="1" x14ac:dyDescent="0.2">
      <c r="A47" s="3"/>
      <c r="B47" s="3"/>
    </row>
    <row r="48" spans="1:2" s="8" customFormat="1" x14ac:dyDescent="0.2">
      <c r="A48" s="3"/>
      <c r="B48" s="3"/>
    </row>
    <row r="49" spans="1:2" s="8" customFormat="1" x14ac:dyDescent="0.2">
      <c r="A49" s="3"/>
      <c r="B49" s="3"/>
    </row>
    <row r="50" spans="1:2" s="8" customFormat="1" x14ac:dyDescent="0.2">
      <c r="A50" s="3"/>
      <c r="B50" s="3"/>
    </row>
    <row r="51" spans="1:2" s="8" customFormat="1" x14ac:dyDescent="0.2">
      <c r="A51" s="3"/>
      <c r="B51" s="3"/>
    </row>
    <row r="52" spans="1:2" s="8" customFormat="1" x14ac:dyDescent="0.2">
      <c r="A52" s="3"/>
      <c r="B52" s="3"/>
    </row>
    <row r="53" spans="1:2" s="8" customFormat="1" x14ac:dyDescent="0.2">
      <c r="A53" s="3"/>
      <c r="B53" s="3"/>
    </row>
    <row r="54" spans="1:2" s="8" customFormat="1" x14ac:dyDescent="0.2">
      <c r="A54" s="3"/>
      <c r="B54" s="3"/>
    </row>
    <row r="55" spans="1:2" s="8" customFormat="1" x14ac:dyDescent="0.2">
      <c r="A55" s="3"/>
      <c r="B55" s="3"/>
    </row>
    <row r="56" spans="1:2" s="8" customFormat="1" x14ac:dyDescent="0.2">
      <c r="A56" s="3"/>
      <c r="B56" s="3"/>
    </row>
    <row r="57" spans="1:2" s="8" customFormat="1" x14ac:dyDescent="0.2">
      <c r="A57" s="3"/>
      <c r="B57" s="3"/>
    </row>
    <row r="58" spans="1:2" s="8" customFormat="1" x14ac:dyDescent="0.2">
      <c r="A58" s="3"/>
      <c r="B58" s="3"/>
    </row>
    <row r="59" spans="1:2" s="8" customFormat="1" x14ac:dyDescent="0.2">
      <c r="A59" s="3"/>
      <c r="B59" s="3"/>
    </row>
    <row r="60" spans="1:2" s="8" customFormat="1" x14ac:dyDescent="0.2">
      <c r="A60" s="3"/>
      <c r="B60" s="3"/>
    </row>
    <row r="61" spans="1:2" s="8" customFormat="1" x14ac:dyDescent="0.2">
      <c r="A61" s="3"/>
      <c r="B61" s="3"/>
    </row>
    <row r="62" spans="1:2" s="8" customFormat="1" x14ac:dyDescent="0.2">
      <c r="A62" s="3"/>
      <c r="B62" s="3"/>
    </row>
    <row r="63" spans="1:2" s="8" customFormat="1" x14ac:dyDescent="0.2">
      <c r="A63" s="3"/>
      <c r="B63" s="3"/>
    </row>
    <row r="64" spans="1:2" s="8" customFormat="1" x14ac:dyDescent="0.2">
      <c r="A64" s="3"/>
      <c r="B64" s="3"/>
    </row>
    <row r="65" spans="1:2" s="8" customFormat="1" x14ac:dyDescent="0.2">
      <c r="A65" s="3"/>
      <c r="B65" s="3"/>
    </row>
    <row r="66" spans="1:2" s="8" customFormat="1" x14ac:dyDescent="0.2">
      <c r="A66" s="3"/>
      <c r="B66" s="3"/>
    </row>
    <row r="67" spans="1:2" s="8" customFormat="1" x14ac:dyDescent="0.2">
      <c r="A67" s="3"/>
      <c r="B67" s="3"/>
    </row>
    <row r="68" spans="1:2" s="8" customFormat="1" x14ac:dyDescent="0.2">
      <c r="A68" s="3"/>
      <c r="B68" s="3"/>
    </row>
    <row r="69" spans="1:2" s="8" customFormat="1" x14ac:dyDescent="0.2">
      <c r="A69" s="3"/>
      <c r="B69" s="3"/>
    </row>
    <row r="70" spans="1:2" s="8" customFormat="1" x14ac:dyDescent="0.2">
      <c r="A70" s="3"/>
      <c r="B70" s="3"/>
    </row>
    <row r="71" spans="1:2" s="8" customFormat="1" x14ac:dyDescent="0.2">
      <c r="A71" s="3"/>
      <c r="B71" s="3"/>
    </row>
    <row r="72" spans="1:2" s="8" customFormat="1" x14ac:dyDescent="0.2">
      <c r="A72" s="3"/>
      <c r="B72" s="3"/>
    </row>
    <row r="73" spans="1:2" s="8" customFormat="1" x14ac:dyDescent="0.2">
      <c r="A73" s="3"/>
      <c r="B73" s="3"/>
    </row>
    <row r="74" spans="1:2" s="8" customFormat="1" x14ac:dyDescent="0.2">
      <c r="A74" s="3"/>
      <c r="B74" s="3"/>
    </row>
    <row r="75" spans="1:2" s="8" customFormat="1" x14ac:dyDescent="0.2">
      <c r="A75" s="3"/>
      <c r="B75" s="3"/>
    </row>
    <row r="76" spans="1:2" s="8" customFormat="1" x14ac:dyDescent="0.2">
      <c r="A76" s="3"/>
      <c r="B76" s="3"/>
    </row>
    <row r="77" spans="1:2" s="8" customFormat="1" x14ac:dyDescent="0.2">
      <c r="A77" s="3"/>
      <c r="B77" s="3"/>
    </row>
    <row r="78" spans="1:2" s="8" customFormat="1" x14ac:dyDescent="0.2">
      <c r="A78" s="3"/>
      <c r="B78" s="3"/>
    </row>
    <row r="79" spans="1:2" s="8" customFormat="1" x14ac:dyDescent="0.2">
      <c r="A79" s="3"/>
      <c r="B79" s="3"/>
    </row>
    <row r="80" spans="1:2" s="8" customFormat="1" x14ac:dyDescent="0.2">
      <c r="A80" s="3"/>
      <c r="B80" s="3"/>
    </row>
    <row r="81" spans="1:2" s="8" customFormat="1" x14ac:dyDescent="0.2">
      <c r="A81" s="3"/>
      <c r="B81" s="3"/>
    </row>
    <row r="82" spans="1:2" s="8" customFormat="1" x14ac:dyDescent="0.2">
      <c r="A82" s="3"/>
      <c r="B82" s="3"/>
    </row>
    <row r="83" spans="1:2" s="8" customFormat="1" x14ac:dyDescent="0.2">
      <c r="A83" s="3"/>
      <c r="B83" s="3"/>
    </row>
    <row r="84" spans="1:2" s="8" customFormat="1" x14ac:dyDescent="0.2">
      <c r="A84" s="3"/>
      <c r="B84" s="3"/>
    </row>
    <row r="85" spans="1:2" s="8" customFormat="1" x14ac:dyDescent="0.2">
      <c r="A85" s="3"/>
      <c r="B85" s="3"/>
    </row>
    <row r="86" spans="1:2" s="8" customFormat="1" x14ac:dyDescent="0.2">
      <c r="A86" s="3"/>
      <c r="B86" s="3"/>
    </row>
    <row r="87" spans="1:2" s="8" customFormat="1" x14ac:dyDescent="0.2">
      <c r="A87" s="3"/>
      <c r="B87" s="3"/>
    </row>
    <row r="88" spans="1:2" s="8" customFormat="1" x14ac:dyDescent="0.2">
      <c r="A88" s="3"/>
      <c r="B88" s="3"/>
    </row>
    <row r="89" spans="1:2" s="8" customFormat="1" x14ac:dyDescent="0.2">
      <c r="A89" s="3"/>
      <c r="B89" s="3"/>
    </row>
    <row r="90" spans="1:2" s="8" customFormat="1" x14ac:dyDescent="0.2">
      <c r="A90" s="3"/>
      <c r="B90" s="3"/>
    </row>
    <row r="91" spans="1:2" s="8" customFormat="1" x14ac:dyDescent="0.2">
      <c r="A91" s="3"/>
      <c r="B91" s="3"/>
    </row>
    <row r="92" spans="1:2" s="8" customFormat="1" x14ac:dyDescent="0.2">
      <c r="A92" s="3"/>
      <c r="B92" s="3"/>
    </row>
    <row r="93" spans="1:2" s="8" customFormat="1" x14ac:dyDescent="0.2">
      <c r="A93" s="3"/>
      <c r="B93" s="3"/>
    </row>
    <row r="94" spans="1:2" s="8" customFormat="1" x14ac:dyDescent="0.2">
      <c r="A94" s="3"/>
      <c r="B94" s="3"/>
    </row>
    <row r="95" spans="1:2" s="8" customFormat="1" x14ac:dyDescent="0.2">
      <c r="A95" s="3"/>
      <c r="B95" s="3"/>
    </row>
    <row r="96" spans="1:2" s="8" customFormat="1" x14ac:dyDescent="0.2">
      <c r="A96" s="3"/>
      <c r="B96" s="3"/>
    </row>
    <row r="97" spans="1:2" s="8" customFormat="1" x14ac:dyDescent="0.2">
      <c r="A97" s="3"/>
      <c r="B97" s="3"/>
    </row>
    <row r="98" spans="1:2" s="8" customFormat="1" x14ac:dyDescent="0.2">
      <c r="A98" s="3"/>
      <c r="B98" s="3"/>
    </row>
    <row r="99" spans="1:2" s="8" customFormat="1" x14ac:dyDescent="0.2">
      <c r="A99" s="3"/>
      <c r="B99" s="3"/>
    </row>
    <row r="100" spans="1:2" s="8" customFormat="1" x14ac:dyDescent="0.2">
      <c r="A100" s="3"/>
      <c r="B100" s="3"/>
    </row>
    <row r="101" spans="1:2" s="8" customFormat="1" x14ac:dyDescent="0.2">
      <c r="A101" s="3"/>
      <c r="B101" s="3"/>
    </row>
    <row r="102" spans="1:2" s="8" customFormat="1" x14ac:dyDescent="0.2">
      <c r="A102" s="3"/>
      <c r="B102" s="3"/>
    </row>
    <row r="103" spans="1:2" s="8" customFormat="1" x14ac:dyDescent="0.2">
      <c r="A103" s="3"/>
      <c r="B103" s="3"/>
    </row>
    <row r="104" spans="1:2" s="8" customFormat="1" x14ac:dyDescent="0.2">
      <c r="A104" s="3"/>
      <c r="B104" s="3"/>
    </row>
    <row r="105" spans="1:2" s="8" customFormat="1" x14ac:dyDescent="0.2">
      <c r="A105" s="3"/>
      <c r="B105" s="3"/>
    </row>
    <row r="106" spans="1:2" s="8" customFormat="1" x14ac:dyDescent="0.2">
      <c r="A106" s="3"/>
      <c r="B106" s="3"/>
    </row>
    <row r="107" spans="1:2" s="8" customFormat="1" x14ac:dyDescent="0.2">
      <c r="A107" s="3"/>
      <c r="B107" s="3"/>
    </row>
    <row r="108" spans="1:2" s="8" customFormat="1" x14ac:dyDescent="0.2">
      <c r="A108" s="3"/>
      <c r="B108" s="3"/>
    </row>
    <row r="109" spans="1:2" s="8" customFormat="1" x14ac:dyDescent="0.2">
      <c r="A109" s="3"/>
      <c r="B109" s="3"/>
    </row>
    <row r="110" spans="1:2" s="8" customFormat="1" x14ac:dyDescent="0.2">
      <c r="A110" s="3"/>
      <c r="B110" s="3"/>
    </row>
    <row r="111" spans="1:2" s="8" customFormat="1" x14ac:dyDescent="0.2">
      <c r="A111" s="3"/>
      <c r="B111" s="3"/>
    </row>
    <row r="112" spans="1:2" s="8" customFormat="1" x14ac:dyDescent="0.2">
      <c r="A112" s="3"/>
      <c r="B112" s="3"/>
    </row>
    <row r="113" spans="1:2" s="8" customFormat="1" x14ac:dyDescent="0.2">
      <c r="A113" s="3"/>
      <c r="B113" s="3"/>
    </row>
    <row r="114" spans="1:2" s="8" customFormat="1" x14ac:dyDescent="0.2">
      <c r="A114" s="3"/>
      <c r="B114" s="3"/>
    </row>
    <row r="115" spans="1:2" s="8" customFormat="1" x14ac:dyDescent="0.2">
      <c r="A115" s="3"/>
      <c r="B115" s="3"/>
    </row>
  </sheetData>
  <mergeCells count="3">
    <mergeCell ref="E3:H3"/>
    <mergeCell ref="L3:O3"/>
    <mergeCell ref="S3:V3"/>
  </mergeCells>
  <pageMargins left="0.25" right="0.25" top="0.75" bottom="0.75" header="0.3" footer="0.3"/>
  <pageSetup scale="3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00FF"/>
    <pageSetUpPr fitToPage="1"/>
  </sheetPr>
  <dimension ref="A1:X129"/>
  <sheetViews>
    <sheetView zoomScale="65" zoomScaleNormal="65" zoomScaleSheetLayoutView="70" workbookViewId="0">
      <pane xSplit="1" ySplit="4" topLeftCell="B5" activePane="bottomRight" state="frozen"/>
      <selection activeCell="A30" sqref="A30"/>
      <selection pane="topRight" activeCell="A30" sqref="A30"/>
      <selection pane="bottomLeft" activeCell="A30" sqref="A30"/>
      <selection pane="bottomRight" activeCell="B5" sqref="B5"/>
    </sheetView>
  </sheetViews>
  <sheetFormatPr defaultColWidth="9.140625" defaultRowHeight="11.25" outlineLevelCol="2" x14ac:dyDescent="0.2"/>
  <cols>
    <col min="1" max="1" width="57.42578125" style="4" bestFit="1" customWidth="1"/>
    <col min="2" max="2" width="20.7109375" style="4" customWidth="1" outlineLevel="1"/>
    <col min="3" max="3" width="20.7109375" style="8" customWidth="1" outlineLevel="1"/>
    <col min="4" max="4" width="1.7109375" style="8" hidden="1" customWidth="1" outlineLevel="2"/>
    <col min="5" max="8" width="20.7109375" style="8" hidden="1" customWidth="1" outlineLevel="2"/>
    <col min="9" max="9" width="1.7109375" style="8" hidden="1" customWidth="1" outlineLevel="2"/>
    <col min="10" max="10" width="20.7109375" style="8" customWidth="1" outlineLevel="1" collapsed="1"/>
    <col min="11" max="11" width="1.7109375" style="8" customWidth="1"/>
    <col min="12" max="15" width="20.7109375" style="8" customWidth="1" outlineLevel="1"/>
    <col min="16" max="16" width="1.7109375" style="8" customWidth="1"/>
    <col min="17" max="17" width="20.7109375" style="8" customWidth="1"/>
    <col min="18" max="18" width="1.28515625" style="8" customWidth="1"/>
    <col min="19" max="22" width="20.7109375" style="8" customWidth="1"/>
    <col min="23" max="23" width="1.28515625" style="8" customWidth="1"/>
    <col min="24" max="24" width="20.7109375" style="8" customWidth="1"/>
    <col min="25" max="16384" width="9.140625" style="14"/>
  </cols>
  <sheetData>
    <row r="1" spans="1:24" s="8" customFormat="1" ht="18" x14ac:dyDescent="0.25">
      <c r="A1" s="198" t="s">
        <v>183</v>
      </c>
      <c r="B1" s="3"/>
    </row>
    <row r="2" spans="1:24" s="8" customFormat="1" x14ac:dyDescent="0.2">
      <c r="A2" s="1"/>
      <c r="B2" s="1"/>
      <c r="C2" s="9"/>
      <c r="D2" s="9"/>
      <c r="E2" s="9"/>
      <c r="F2" s="9"/>
      <c r="G2" s="9"/>
      <c r="H2" s="9"/>
      <c r="I2" s="9"/>
      <c r="J2" s="9"/>
      <c r="K2" s="9"/>
      <c r="L2" s="9"/>
      <c r="M2" s="9"/>
      <c r="N2" s="9"/>
      <c r="O2" s="9"/>
      <c r="P2" s="9"/>
      <c r="Q2" s="9"/>
      <c r="R2" s="9"/>
      <c r="S2" s="9"/>
      <c r="T2" s="9"/>
      <c r="U2" s="9"/>
      <c r="V2" s="9"/>
      <c r="W2" s="9"/>
      <c r="X2" s="9"/>
    </row>
    <row r="3" spans="1:24" s="24" customFormat="1" ht="30" customHeight="1" x14ac:dyDescent="0.25">
      <c r="A3" s="78"/>
      <c r="B3" s="196" t="s">
        <v>31</v>
      </c>
      <c r="C3" s="196" t="s">
        <v>31</v>
      </c>
      <c r="D3" s="82"/>
      <c r="E3" s="354" t="s">
        <v>1</v>
      </c>
      <c r="F3" s="354"/>
      <c r="G3" s="354"/>
      <c r="H3" s="354"/>
      <c r="I3" s="82"/>
      <c r="J3" s="81" t="s">
        <v>31</v>
      </c>
      <c r="K3" s="82"/>
      <c r="L3" s="354" t="s">
        <v>1</v>
      </c>
      <c r="M3" s="354"/>
      <c r="N3" s="354"/>
      <c r="O3" s="354"/>
      <c r="P3" s="82"/>
      <c r="Q3" s="262" t="s">
        <v>31</v>
      </c>
      <c r="R3" s="110"/>
      <c r="S3" s="354" t="s">
        <v>1</v>
      </c>
      <c r="T3" s="354"/>
      <c r="U3" s="354"/>
      <c r="V3" s="354"/>
      <c r="X3" s="303" t="s">
        <v>31</v>
      </c>
    </row>
    <row r="4" spans="1:24" s="24" customFormat="1" ht="30" customHeight="1" x14ac:dyDescent="0.25">
      <c r="A4" s="83" t="s">
        <v>0</v>
      </c>
      <c r="B4" s="84" t="s">
        <v>155</v>
      </c>
      <c r="C4" s="84" t="s">
        <v>159</v>
      </c>
      <c r="D4" s="82"/>
      <c r="E4" s="84" t="s">
        <v>156</v>
      </c>
      <c r="F4" s="84" t="s">
        <v>157</v>
      </c>
      <c r="G4" s="84" t="s">
        <v>158</v>
      </c>
      <c r="H4" s="84" t="s">
        <v>100</v>
      </c>
      <c r="I4" s="82"/>
      <c r="J4" s="84" t="s">
        <v>100</v>
      </c>
      <c r="K4" s="82"/>
      <c r="L4" s="84" t="s">
        <v>148</v>
      </c>
      <c r="M4" s="84" t="s">
        <v>149</v>
      </c>
      <c r="N4" s="84" t="s">
        <v>109</v>
      </c>
      <c r="O4" s="84" t="s">
        <v>314</v>
      </c>
      <c r="P4" s="82"/>
      <c r="Q4" s="84" t="s">
        <v>314</v>
      </c>
      <c r="R4" s="86"/>
      <c r="S4" s="84" t="s">
        <v>327</v>
      </c>
      <c r="T4" s="84" t="s">
        <v>330</v>
      </c>
      <c r="U4" s="84" t="s">
        <v>338</v>
      </c>
      <c r="V4" s="84" t="s">
        <v>346</v>
      </c>
      <c r="X4" s="84" t="s">
        <v>346</v>
      </c>
    </row>
    <row r="5" spans="1:24" s="8" customFormat="1" x14ac:dyDescent="0.2">
      <c r="A5" s="5"/>
      <c r="B5" s="5"/>
    </row>
    <row r="6" spans="1:24" s="47" customFormat="1" ht="16.5" x14ac:dyDescent="0.25">
      <c r="A6" s="65" t="s">
        <v>60</v>
      </c>
      <c r="B6" s="65"/>
      <c r="E6" s="52"/>
      <c r="L6" s="52"/>
    </row>
    <row r="7" spans="1:24" s="47" customFormat="1" ht="16.5" x14ac:dyDescent="0.25">
      <c r="A7" s="58" t="s">
        <v>61</v>
      </c>
      <c r="B7" s="56">
        <f>+'CES Operating Expenses'!B7+'CIS Operating Expenses'!B7</f>
        <v>143.60399999999998</v>
      </c>
      <c r="C7" s="56">
        <f>+'CES Operating Expenses'!C7+'CIS Operating Expenses'!C7</f>
        <v>158.9</v>
      </c>
      <c r="D7" s="111"/>
      <c r="E7" s="56">
        <f>+'CES Operating Expenses'!E7+'CIS Operating Expenses'!E7</f>
        <v>44</v>
      </c>
      <c r="F7" s="56">
        <f>+'CES Operating Expenses'!F7+'CIS Operating Expenses'!F7</f>
        <v>43.6</v>
      </c>
      <c r="G7" s="56">
        <f>+'CES Operating Expenses'!G7+'CIS Operating Expenses'!G7</f>
        <v>43.099999999999994</v>
      </c>
      <c r="H7" s="56">
        <f>+'CES Operating Expenses'!H7+'CIS Operating Expenses'!H7</f>
        <v>45.1</v>
      </c>
      <c r="I7" s="111"/>
      <c r="J7" s="56">
        <f>+'CES Operating Expenses'!J7+'CIS Operating Expenses'!J7</f>
        <v>175.9</v>
      </c>
      <c r="K7" s="111"/>
      <c r="L7" s="56">
        <f>+'CES Operating Expenses'!L7+'CIS Operating Expenses'!L7</f>
        <v>48.4</v>
      </c>
      <c r="M7" s="56">
        <f>+'CES Operating Expenses'!M7+'CIS Operating Expenses'!M7</f>
        <v>49.274000000000001</v>
      </c>
      <c r="N7" s="56">
        <f>+'CES Operating Expenses'!N7+'CIS Operating Expenses'!N7</f>
        <v>47.951999999999998</v>
      </c>
      <c r="O7" s="56">
        <f>+'CES Operating Expenses'!O7+'CIS Operating Expenses'!O7</f>
        <v>46.099999999999994</v>
      </c>
      <c r="P7" s="111"/>
      <c r="Q7" s="56">
        <f>+'CES Operating Expenses'!Q7+'CIS Operating Expenses'!Q7</f>
        <v>191.70999999999998</v>
      </c>
      <c r="S7" s="56">
        <f>+'CES Operating Expenses'!S7+'CIS Operating Expenses'!S7</f>
        <v>49.572000000000003</v>
      </c>
      <c r="T7" s="56">
        <f>+'CES Operating Expenses'!T7+'CIS Operating Expenses'!T7</f>
        <v>45.528999999999996</v>
      </c>
      <c r="U7" s="56">
        <f>+'CES Operating Expenses'!U7+'CIS Operating Expenses'!U7</f>
        <v>50.341000000000001</v>
      </c>
      <c r="V7" s="56">
        <f>+'CES Operating Expenses'!V7+'CIS Operating Expenses'!V7</f>
        <v>56.21</v>
      </c>
      <c r="X7" s="56">
        <f>+'CES Operating Expenses'!X7+'CIS Operating Expenses'!X7</f>
        <v>201.65199999999999</v>
      </c>
    </row>
    <row r="8" spans="1:24" s="47" customFormat="1" ht="16.5" x14ac:dyDescent="0.25">
      <c r="A8" s="58" t="s">
        <v>201</v>
      </c>
      <c r="B8" s="61">
        <f>+'CES Operating Expenses'!B8+'CIS Operating Expenses'!B8</f>
        <v>11.637</v>
      </c>
      <c r="C8" s="61">
        <f>+'CES Operating Expenses'!C8+'CIS Operating Expenses'!C8</f>
        <v>13.1</v>
      </c>
      <c r="D8" s="111"/>
      <c r="E8" s="61">
        <f>+'CES Operating Expenses'!E8+'CIS Operating Expenses'!E8</f>
        <v>1.5</v>
      </c>
      <c r="F8" s="61">
        <f>+'CES Operating Expenses'!F8+'CIS Operating Expenses'!F8</f>
        <v>3</v>
      </c>
      <c r="G8" s="61">
        <f>+'CES Operating Expenses'!G8+'CIS Operating Expenses'!G8</f>
        <v>2.7</v>
      </c>
      <c r="H8" s="61">
        <f>+'CES Operating Expenses'!H8+'CIS Operating Expenses'!H8</f>
        <v>2.6</v>
      </c>
      <c r="I8" s="111"/>
      <c r="J8" s="61">
        <f>+'CES Operating Expenses'!J8+'CIS Operating Expenses'!J8</f>
        <v>9.9</v>
      </c>
      <c r="K8" s="111"/>
      <c r="L8" s="61">
        <f>+'CES Operating Expenses'!L8+'CIS Operating Expenses'!L8</f>
        <v>2.6</v>
      </c>
      <c r="M8" s="61">
        <f>+'CES Operating Expenses'!M8+'CIS Operating Expenses'!M8</f>
        <v>3.3819999999999997</v>
      </c>
      <c r="N8" s="61">
        <f>+'CES Operating Expenses'!N8+'CIS Operating Expenses'!N8</f>
        <v>2.988</v>
      </c>
      <c r="O8" s="61">
        <f>+'CES Operating Expenses'!O8+'CIS Operating Expenses'!O8</f>
        <v>4.5010000000000003</v>
      </c>
      <c r="P8" s="111"/>
      <c r="Q8" s="61">
        <f>+'CES Operating Expenses'!Q8+'CIS Operating Expenses'!Q8</f>
        <v>13.425999999999998</v>
      </c>
      <c r="S8" s="61">
        <f>+'CES Operating Expenses'!S8+'CIS Operating Expenses'!S8</f>
        <v>2.3360000000000003</v>
      </c>
      <c r="T8" s="61">
        <f>+'CES Operating Expenses'!T8+'CIS Operating Expenses'!T8</f>
        <v>2.956</v>
      </c>
      <c r="U8" s="61">
        <f>+'CES Operating Expenses'!U8+'CIS Operating Expenses'!U8</f>
        <v>2.9</v>
      </c>
      <c r="V8" s="61">
        <f>+'CES Operating Expenses'!V8+'CIS Operating Expenses'!V8</f>
        <v>1.3440000000000001</v>
      </c>
      <c r="X8" s="61">
        <f>+'CES Operating Expenses'!X8+'CIS Operating Expenses'!X8</f>
        <v>9.5359999999999996</v>
      </c>
    </row>
    <row r="9" spans="1:24" s="47" customFormat="1" ht="16.5" x14ac:dyDescent="0.25">
      <c r="A9" s="58" t="s">
        <v>202</v>
      </c>
      <c r="B9" s="104">
        <f>+'CES Operating Expenses'!B9+'CIS Operating Expenses'!B9</f>
        <v>15.829000000000001</v>
      </c>
      <c r="C9" s="104">
        <f>+'CES Operating Expenses'!C9+'CIS Operating Expenses'!C9</f>
        <v>18.600000000000001</v>
      </c>
      <c r="D9" s="121"/>
      <c r="E9" s="104">
        <f>+'CES Operating Expenses'!E9+'CIS Operating Expenses'!E9</f>
        <v>6.6</v>
      </c>
      <c r="F9" s="104">
        <f>+'CES Operating Expenses'!F9+'CIS Operating Expenses'!F9</f>
        <v>5.6</v>
      </c>
      <c r="G9" s="104">
        <f>+'CES Operating Expenses'!G9+'CIS Operating Expenses'!G9</f>
        <v>5.7610000000000001</v>
      </c>
      <c r="H9" s="104">
        <f>+'CES Operating Expenses'!H9+'CIS Operating Expenses'!H9</f>
        <v>5.4</v>
      </c>
      <c r="I9" s="121"/>
      <c r="J9" s="104">
        <f>+'CES Operating Expenses'!J9+'CIS Operating Expenses'!J9</f>
        <v>23.299999999999997</v>
      </c>
      <c r="K9" s="121"/>
      <c r="L9" s="104">
        <f>+'CES Operating Expenses'!L9+'CIS Operating Expenses'!L9</f>
        <v>6.2</v>
      </c>
      <c r="M9" s="104">
        <f>+'CES Operating Expenses'!M9+'CIS Operating Expenses'!M9</f>
        <v>6.0440000000000005</v>
      </c>
      <c r="N9" s="104">
        <f>+'CES Operating Expenses'!N9+'CIS Operating Expenses'!N9</f>
        <v>6.7539999999999996</v>
      </c>
      <c r="O9" s="104">
        <f>+'CES Operating Expenses'!O9+'CIS Operating Expenses'!O9</f>
        <v>7.5340000000000007</v>
      </c>
      <c r="P9" s="121"/>
      <c r="Q9" s="104">
        <f>+'CES Operating Expenses'!Q9+'CIS Operating Expenses'!Q9</f>
        <v>26.547000000000001</v>
      </c>
      <c r="R9" s="105"/>
      <c r="S9" s="104">
        <f>+'CES Operating Expenses'!S9+'CIS Operating Expenses'!S9</f>
        <v>7.1710000000000003</v>
      </c>
      <c r="T9" s="104">
        <f>+'CES Operating Expenses'!T9+'CIS Operating Expenses'!T9</f>
        <v>6.7439999999999998</v>
      </c>
      <c r="U9" s="104">
        <f>+'CES Operating Expenses'!U9+'CIS Operating Expenses'!U9</f>
        <v>7.8259999999999996</v>
      </c>
      <c r="V9" s="104">
        <f>+'CES Operating Expenses'!V9+'CIS Operating Expenses'!V9</f>
        <v>7.24</v>
      </c>
      <c r="W9" s="105"/>
      <c r="X9" s="104">
        <f>+'CES Operating Expenses'!X9+'CIS Operating Expenses'!X9</f>
        <v>28.981000000000002</v>
      </c>
    </row>
    <row r="10" spans="1:24" s="47" customFormat="1" ht="16.5" x14ac:dyDescent="0.25">
      <c r="A10" s="65" t="s">
        <v>62</v>
      </c>
      <c r="B10" s="68">
        <f>SUM(B7:B9)</f>
        <v>171.07</v>
      </c>
      <c r="C10" s="68">
        <f>SUM(C7:C9)</f>
        <v>190.6</v>
      </c>
      <c r="D10" s="106"/>
      <c r="E10" s="68">
        <f>SUM(E7:E9)</f>
        <v>52.1</v>
      </c>
      <c r="F10" s="68">
        <f>SUM(F7:F9)</f>
        <v>52.2</v>
      </c>
      <c r="G10" s="68">
        <f>SUM(G7:G9)</f>
        <v>51.561</v>
      </c>
      <c r="H10" s="68">
        <f>SUM(H7:H9)</f>
        <v>53.1</v>
      </c>
      <c r="I10" s="106"/>
      <c r="J10" s="68">
        <f>SUM(J7:J9)</f>
        <v>209.10000000000002</v>
      </c>
      <c r="K10" s="106"/>
      <c r="L10" s="68">
        <f>SUM(L7:L9)</f>
        <v>57.2</v>
      </c>
      <c r="M10" s="68">
        <f>SUM(M7:M9)</f>
        <v>58.7</v>
      </c>
      <c r="N10" s="68">
        <f>SUM(N7:N9)</f>
        <v>57.693999999999996</v>
      </c>
      <c r="O10" s="68">
        <f>SUM(O7:O9)</f>
        <v>58.134999999999991</v>
      </c>
      <c r="P10" s="106"/>
      <c r="Q10" s="68">
        <f>SUM(Q7:Q9)</f>
        <v>231.68299999999996</v>
      </c>
      <c r="R10" s="106"/>
      <c r="S10" s="68">
        <f>SUM(S7:S9)</f>
        <v>59.079000000000001</v>
      </c>
      <c r="T10" s="68">
        <f>SUM(T7:T9)</f>
        <v>55.228999999999999</v>
      </c>
      <c r="U10" s="68">
        <f>SUM(U7:U9)</f>
        <v>61.067</v>
      </c>
      <c r="V10" s="68">
        <f>SUM(V7:V9)</f>
        <v>64.793999999999997</v>
      </c>
      <c r="W10" s="106"/>
      <c r="X10" s="68">
        <f>SUM(X7:X9)</f>
        <v>240.16899999999998</v>
      </c>
    </row>
    <row r="11" spans="1:24" s="47" customFormat="1" ht="16.5" x14ac:dyDescent="0.25">
      <c r="A11" s="65" t="s">
        <v>107</v>
      </c>
      <c r="B11" s="112">
        <v>0.161</v>
      </c>
      <c r="C11" s="112">
        <v>0.16800000000000001</v>
      </c>
      <c r="D11" s="106"/>
      <c r="E11" s="112">
        <v>0.18</v>
      </c>
      <c r="F11" s="112">
        <v>0.17100000000000001</v>
      </c>
      <c r="G11" s="112">
        <v>0.17</v>
      </c>
      <c r="H11" s="112">
        <v>0.161</v>
      </c>
      <c r="I11" s="106"/>
      <c r="J11" s="112">
        <v>0.17</v>
      </c>
      <c r="K11" s="106"/>
      <c r="L11" s="112">
        <v>0.18099999999999999</v>
      </c>
      <c r="M11" s="112">
        <v>0.18</v>
      </c>
      <c r="N11" s="112">
        <v>0.17799999999999999</v>
      </c>
      <c r="O11" s="112">
        <v>0.17100000000000001</v>
      </c>
      <c r="P11" s="106"/>
      <c r="Q11" s="112">
        <v>0.17799999999999999</v>
      </c>
      <c r="R11" s="106"/>
      <c r="S11" s="112">
        <v>0.20599999999999999</v>
      </c>
      <c r="T11" s="112">
        <v>0.17899999999999999</v>
      </c>
      <c r="U11" s="112">
        <v>0.186</v>
      </c>
      <c r="V11" s="112">
        <v>0.186</v>
      </c>
      <c r="W11" s="106"/>
      <c r="X11" s="112">
        <v>0.189</v>
      </c>
    </row>
    <row r="12" spans="1:24" s="47" customFormat="1" ht="8.25" customHeight="1" x14ac:dyDescent="0.25">
      <c r="B12" s="52"/>
      <c r="C12" s="52"/>
      <c r="E12" s="52"/>
      <c r="F12" s="52"/>
      <c r="G12" s="52"/>
      <c r="H12" s="52"/>
      <c r="J12" s="52"/>
      <c r="L12" s="52"/>
      <c r="M12" s="52"/>
      <c r="N12" s="52"/>
      <c r="O12" s="52"/>
      <c r="Q12" s="52"/>
      <c r="S12" s="52"/>
      <c r="T12" s="52"/>
      <c r="U12" s="52"/>
      <c r="V12" s="52"/>
      <c r="X12" s="52"/>
    </row>
    <row r="13" spans="1:24" s="47" customFormat="1" ht="16.5" x14ac:dyDescent="0.25">
      <c r="A13" s="58" t="s">
        <v>201</v>
      </c>
      <c r="B13" s="61">
        <f>-B8</f>
        <v>-11.637</v>
      </c>
      <c r="C13" s="61">
        <f>-C8</f>
        <v>-13.1</v>
      </c>
      <c r="D13" s="74"/>
      <c r="E13" s="61">
        <f>-E8</f>
        <v>-1.5</v>
      </c>
      <c r="F13" s="61">
        <f>-F8</f>
        <v>-3</v>
      </c>
      <c r="G13" s="61">
        <f>-G8</f>
        <v>-2.7</v>
      </c>
      <c r="H13" s="61">
        <f>-H8</f>
        <v>-2.6</v>
      </c>
      <c r="I13" s="74"/>
      <c r="J13" s="61">
        <f>-J8</f>
        <v>-9.9</v>
      </c>
      <c r="K13" s="74"/>
      <c r="L13" s="61">
        <f>-L8</f>
        <v>-2.6</v>
      </c>
      <c r="M13" s="61">
        <f>-M8</f>
        <v>-3.3819999999999997</v>
      </c>
      <c r="N13" s="61">
        <f>-N8</f>
        <v>-2.988</v>
      </c>
      <c r="O13" s="61">
        <f>-O8</f>
        <v>-4.5010000000000003</v>
      </c>
      <c r="P13" s="74"/>
      <c r="Q13" s="61">
        <f>-Q8</f>
        <v>-13.425999999999998</v>
      </c>
      <c r="R13" s="106"/>
      <c r="S13" s="61">
        <f>-S8</f>
        <v>-2.3360000000000003</v>
      </c>
      <c r="T13" s="61">
        <f>-T8</f>
        <v>-2.956</v>
      </c>
      <c r="U13" s="61">
        <f>-U8</f>
        <v>-2.9</v>
      </c>
      <c r="V13" s="61">
        <f>-V8</f>
        <v>-1.3440000000000001</v>
      </c>
      <c r="W13" s="106"/>
      <c r="X13" s="61">
        <f>-X8</f>
        <v>-9.5359999999999996</v>
      </c>
    </row>
    <row r="14" spans="1:24" s="47" customFormat="1" ht="16.5" x14ac:dyDescent="0.25">
      <c r="A14" s="58" t="s">
        <v>203</v>
      </c>
      <c r="B14" s="61">
        <f>+'CES Operating Expenses'!B14+'CIS Operating Expenses'!B14</f>
        <v>-0.21000000000000002</v>
      </c>
      <c r="C14" s="61">
        <f>+'CES Operating Expenses'!C14+'CIS Operating Expenses'!C14</f>
        <v>0</v>
      </c>
      <c r="D14" s="111"/>
      <c r="E14" s="61">
        <f>+'CES Operating Expenses'!E14+'CIS Operating Expenses'!E14</f>
        <v>0</v>
      </c>
      <c r="F14" s="61">
        <f>+'CES Operating Expenses'!F14+'CIS Operating Expenses'!F14</f>
        <v>0</v>
      </c>
      <c r="G14" s="61">
        <f>+'CES Operating Expenses'!G14+'CIS Operating Expenses'!G14</f>
        <v>0</v>
      </c>
      <c r="H14" s="61">
        <f>+'CES Operating Expenses'!H14+'CIS Operating Expenses'!H14</f>
        <v>-0.2</v>
      </c>
      <c r="I14" s="111"/>
      <c r="J14" s="61">
        <f>+'CES Operating Expenses'!J14+'CIS Operating Expenses'!J14</f>
        <v>-0.2</v>
      </c>
      <c r="K14" s="111"/>
      <c r="L14" s="61">
        <f>+'CES Operating Expenses'!L14+'CIS Operating Expenses'!L14</f>
        <v>-0.2</v>
      </c>
      <c r="M14" s="61">
        <f>+'CES Operating Expenses'!M14+'CIS Operating Expenses'!M14</f>
        <v>-0.24099999999999999</v>
      </c>
      <c r="N14" s="61">
        <f>+'CES Operating Expenses'!N14+'CIS Operating Expenses'!N14</f>
        <v>-0.121</v>
      </c>
      <c r="O14" s="61">
        <f>+'CES Operating Expenses'!O14+'CIS Operating Expenses'!O14</f>
        <v>-0.31</v>
      </c>
      <c r="P14" s="111"/>
      <c r="Q14" s="61">
        <f>+'CES Operating Expenses'!Q14+'CIS Operating Expenses'!Q14</f>
        <v>-0.83800000000000008</v>
      </c>
      <c r="R14" s="106"/>
      <c r="S14" s="61">
        <f>+'CES Operating Expenses'!S14+'CIS Operating Expenses'!S14</f>
        <v>-0.29499999999999998</v>
      </c>
      <c r="T14" s="61">
        <f>+'CES Operating Expenses'!T14+'CIS Operating Expenses'!T14</f>
        <v>-0.11899999999999999</v>
      </c>
      <c r="U14" s="61">
        <f>+'CES Operating Expenses'!U14+'CIS Operating Expenses'!U14</f>
        <v>-2.7999999999999997E-2</v>
      </c>
      <c r="V14" s="61">
        <f>+'CES Operating Expenses'!V14+'CIS Operating Expenses'!V14</f>
        <v>-3.6999999999999998E-2</v>
      </c>
      <c r="W14" s="106"/>
      <c r="X14" s="61">
        <f>+'CES Operating Expenses'!X14+'CIS Operating Expenses'!X14</f>
        <v>-0.47900000000000009</v>
      </c>
    </row>
    <row r="15" spans="1:24" s="47" customFormat="1" ht="16.5" x14ac:dyDescent="0.25">
      <c r="A15" s="58" t="s">
        <v>204</v>
      </c>
      <c r="B15" s="155">
        <f>+'CES Operating Expenses'!B15+'CIS Operating Expenses'!B15</f>
        <v>-1.7479999999999998</v>
      </c>
      <c r="C15" s="155">
        <f>+'CES Operating Expenses'!C15+'CIS Operating Expenses'!C15</f>
        <v>-1</v>
      </c>
      <c r="D15" s="155"/>
      <c r="E15" s="155">
        <f>+'CES Operating Expenses'!E15+'CIS Operating Expenses'!E15</f>
        <v>0</v>
      </c>
      <c r="F15" s="155">
        <f>+'CES Operating Expenses'!F15+'CIS Operating Expenses'!F15</f>
        <v>0</v>
      </c>
      <c r="G15" s="155">
        <f>+'CES Operating Expenses'!G15+'CIS Operating Expenses'!G15</f>
        <v>-0.30000000000000004</v>
      </c>
      <c r="H15" s="155">
        <f>+'CES Operating Expenses'!H15+'CIS Operating Expenses'!H15</f>
        <v>-0.1</v>
      </c>
      <c r="I15" s="155"/>
      <c r="J15" s="155">
        <f>+'CES Operating Expenses'!J15+'CIS Operating Expenses'!J15</f>
        <v>-0.5</v>
      </c>
      <c r="K15" s="155"/>
      <c r="L15" s="155">
        <f>+'CES Operating Expenses'!L15+'CIS Operating Expenses'!L15</f>
        <v>-0.4</v>
      </c>
      <c r="M15" s="155">
        <f>+'CES Operating Expenses'!M15+'CIS Operating Expenses'!M15</f>
        <v>-0.08</v>
      </c>
      <c r="N15" s="155">
        <f>+'CES Operating Expenses'!N15+'CIS Operating Expenses'!N15</f>
        <v>-0.313</v>
      </c>
      <c r="O15" s="155">
        <f>+'CES Operating Expenses'!O15+'CIS Operating Expenses'!O15</f>
        <v>-0.41500000000000004</v>
      </c>
      <c r="P15" s="155"/>
      <c r="Q15" s="155">
        <f>+'CES Operating Expenses'!Q15+'CIS Operating Expenses'!Q15</f>
        <v>-1.3089999999999999</v>
      </c>
      <c r="S15" s="155">
        <f>+'CES Operating Expenses'!S15+'CIS Operating Expenses'!S15</f>
        <v>-0.92599999999999993</v>
      </c>
      <c r="T15" s="155">
        <f>+'CES Operating Expenses'!T15+'CIS Operating Expenses'!T15</f>
        <v>-0.316</v>
      </c>
      <c r="U15" s="155">
        <f>+'CES Operating Expenses'!U15+'CIS Operating Expenses'!U15</f>
        <v>-0.26200000000000001</v>
      </c>
      <c r="V15" s="155">
        <f>+'CES Operating Expenses'!V15+'CIS Operating Expenses'!V15</f>
        <v>-0.20700000000000002</v>
      </c>
      <c r="X15" s="155">
        <f>+'CES Operating Expenses'!X15+'CIS Operating Expenses'!X15</f>
        <v>-1.7109999999999999</v>
      </c>
    </row>
    <row r="16" spans="1:24" s="47" customFormat="1" ht="16.5" x14ac:dyDescent="0.25">
      <c r="A16" s="58" t="s">
        <v>316</v>
      </c>
      <c r="B16" s="155">
        <f>+'CES Operating Expenses'!B16+'CIS Operating Expenses'!B16</f>
        <v>0</v>
      </c>
      <c r="C16" s="155">
        <f>+'CES Operating Expenses'!C16+'CIS Operating Expenses'!C16</f>
        <v>0</v>
      </c>
      <c r="D16" s="155"/>
      <c r="E16" s="155">
        <f>+'CES Operating Expenses'!E16+'CIS Operating Expenses'!E16</f>
        <v>0</v>
      </c>
      <c r="F16" s="155">
        <f>+'CES Operating Expenses'!F16+'CIS Operating Expenses'!F16</f>
        <v>0</v>
      </c>
      <c r="G16" s="155">
        <f>+'CES Operating Expenses'!G16+'CIS Operating Expenses'!G16</f>
        <v>0</v>
      </c>
      <c r="H16" s="155">
        <f>+'CES Operating Expenses'!H16+'CIS Operating Expenses'!H16</f>
        <v>0</v>
      </c>
      <c r="I16" s="155"/>
      <c r="J16" s="155">
        <f>+'CES Operating Expenses'!J16+'CIS Operating Expenses'!J16</f>
        <v>0</v>
      </c>
      <c r="K16" s="155"/>
      <c r="L16" s="155">
        <f>+'CES Operating Expenses'!L16+'CIS Operating Expenses'!L16</f>
        <v>0</v>
      </c>
      <c r="M16" s="155">
        <f>+'CES Operating Expenses'!M16+'CIS Operating Expenses'!M16</f>
        <v>0</v>
      </c>
      <c r="N16" s="155">
        <f>+'CES Operating Expenses'!N16+'CIS Operating Expenses'!N16</f>
        <v>0</v>
      </c>
      <c r="O16" s="155">
        <f>+'CES Operating Expenses'!O16+'CIS Operating Expenses'!O16</f>
        <v>0</v>
      </c>
      <c r="P16" s="155"/>
      <c r="Q16" s="155">
        <f>+'CES Operating Expenses'!Q16+'CIS Operating Expenses'!Q16</f>
        <v>0</v>
      </c>
      <c r="S16" s="155">
        <f>+'CES Operating Expenses'!S16+'CIS Operating Expenses'!S16</f>
        <v>0</v>
      </c>
      <c r="T16" s="155">
        <f>+'CES Operating Expenses'!T16+'CIS Operating Expenses'!T16</f>
        <v>0</v>
      </c>
      <c r="U16" s="155">
        <f>+'CES Operating Expenses'!U16+'CIS Operating Expenses'!U16</f>
        <v>-9.4E-2</v>
      </c>
      <c r="V16" s="155">
        <f>+'CES Operating Expenses'!V16+'CIS Operating Expenses'!V16</f>
        <v>-0.27200000000000002</v>
      </c>
      <c r="X16" s="155">
        <f>+'CES Operating Expenses'!X16+'CIS Operating Expenses'!X16</f>
        <v>-0.36599999999999999</v>
      </c>
    </row>
    <row r="17" spans="1:24" s="47" customFormat="1" ht="16.5" x14ac:dyDescent="0.25">
      <c r="A17" s="58" t="s">
        <v>206</v>
      </c>
      <c r="B17" s="154">
        <f>+'CES Operating Expenses'!B17+'CIS Operating Expenses'!B17</f>
        <v>0</v>
      </c>
      <c r="C17" s="154">
        <f>+'CES Operating Expenses'!C17+'CIS Operating Expenses'!C17</f>
        <v>0</v>
      </c>
      <c r="D17" s="155"/>
      <c r="E17" s="154">
        <f>+'CES Operating Expenses'!E17+'CIS Operating Expenses'!E17</f>
        <v>0</v>
      </c>
      <c r="F17" s="154">
        <f>+'CES Operating Expenses'!F17+'CIS Operating Expenses'!F17</f>
        <v>0</v>
      </c>
      <c r="G17" s="154">
        <f>+'CES Operating Expenses'!G17+'CIS Operating Expenses'!G17</f>
        <v>0</v>
      </c>
      <c r="H17" s="154">
        <f>+'CES Operating Expenses'!H17+'CIS Operating Expenses'!H17</f>
        <v>0</v>
      </c>
      <c r="I17" s="155"/>
      <c r="J17" s="154">
        <f>+'CES Operating Expenses'!J17+'CIS Operating Expenses'!J17</f>
        <v>0</v>
      </c>
      <c r="K17" s="155"/>
      <c r="L17" s="154">
        <f>+'CES Operating Expenses'!L17+'CIS Operating Expenses'!L17</f>
        <v>0</v>
      </c>
      <c r="M17" s="154">
        <f>+'CES Operating Expenses'!M17+'CIS Operating Expenses'!M17</f>
        <v>0</v>
      </c>
      <c r="N17" s="154">
        <f>+'CES Operating Expenses'!N17+'CIS Operating Expenses'!N17</f>
        <v>0</v>
      </c>
      <c r="O17" s="154">
        <f>+'CES Operating Expenses'!O17+'CIS Operating Expenses'!O17</f>
        <v>0</v>
      </c>
      <c r="P17" s="155"/>
      <c r="Q17" s="154">
        <f>+'CES Operating Expenses'!Q17+'CIS Operating Expenses'!Q17</f>
        <v>0</v>
      </c>
      <c r="S17" s="154">
        <f>+'CES Operating Expenses'!S17+'CIS Operating Expenses'!S17</f>
        <v>0</v>
      </c>
      <c r="T17" s="154">
        <f>+'CES Operating Expenses'!T17+'CIS Operating Expenses'!T17</f>
        <v>-6.9000000000000006E-2</v>
      </c>
      <c r="U17" s="154">
        <f>+'CES Operating Expenses'!U17+'CIS Operating Expenses'!U17</f>
        <v>5.7999999999999996E-2</v>
      </c>
      <c r="V17" s="154">
        <f>+'CES Operating Expenses'!V17+'CIS Operating Expenses'!V17</f>
        <v>-2.1999999999999999E-2</v>
      </c>
      <c r="X17" s="154">
        <f>+'CES Operating Expenses'!X17+'CIS Operating Expenses'!X17</f>
        <v>-3.3000000000000002E-2</v>
      </c>
    </row>
    <row r="18" spans="1:24" s="47" customFormat="1" ht="33" x14ac:dyDescent="0.25">
      <c r="A18" s="114" t="s">
        <v>227</v>
      </c>
      <c r="B18" s="115">
        <f>SUM(B13:B17)+B10</f>
        <v>157.47499999999999</v>
      </c>
      <c r="C18" s="115">
        <f>SUM(C13:C17)+C10</f>
        <v>176.5</v>
      </c>
      <c r="D18" s="117"/>
      <c r="E18" s="115">
        <f>SUM(E13:E17)+E10</f>
        <v>50.6</v>
      </c>
      <c r="F18" s="115">
        <f>SUM(F13:F17)+F10</f>
        <v>49.2</v>
      </c>
      <c r="G18" s="115">
        <f>SUM(G13:G17)+G10</f>
        <v>48.561</v>
      </c>
      <c r="H18" s="115">
        <f>SUM(H13:H17)+H10</f>
        <v>50.2</v>
      </c>
      <c r="I18" s="117"/>
      <c r="J18" s="115">
        <f>SUM(J13:J17)+J10</f>
        <v>198.50000000000003</v>
      </c>
      <c r="K18" s="117"/>
      <c r="L18" s="115">
        <f>SUM(L13:L17)+L10</f>
        <v>54</v>
      </c>
      <c r="M18" s="115">
        <f>SUM(M13:M17)+M10</f>
        <v>54.997</v>
      </c>
      <c r="N18" s="115">
        <f>SUM(N13:N17)+N10</f>
        <v>54.271999999999998</v>
      </c>
      <c r="O18" s="115">
        <f>SUM(O13:O17)+O10</f>
        <v>52.908999999999992</v>
      </c>
      <c r="P18" s="117"/>
      <c r="Q18" s="115">
        <f>SUM(Q13:Q17)+Q10</f>
        <v>216.10999999999996</v>
      </c>
      <c r="S18" s="115">
        <f>SUM(S13:S17)+S10</f>
        <v>55.521999999999998</v>
      </c>
      <c r="T18" s="292">
        <f>SUM(T13:T17)+T10</f>
        <v>51.768999999999998</v>
      </c>
      <c r="U18" s="292">
        <f>SUM(U13:U17)+U10</f>
        <v>57.841000000000001</v>
      </c>
      <c r="V18" s="292">
        <f>SUM(V13:V17)+V10</f>
        <v>62.911999999999999</v>
      </c>
      <c r="X18" s="115">
        <f>SUM(X13:X17)+X10</f>
        <v>228.04399999999998</v>
      </c>
    </row>
    <row r="19" spans="1:24" s="47" customFormat="1" ht="16.5" x14ac:dyDescent="0.25">
      <c r="A19" s="65" t="s">
        <v>108</v>
      </c>
      <c r="B19" s="112">
        <v>0.14699999999999999</v>
      </c>
      <c r="C19" s="112">
        <v>0.153</v>
      </c>
      <c r="D19" s="117"/>
      <c r="E19" s="112">
        <v>0.17299999999999999</v>
      </c>
      <c r="F19" s="112">
        <v>0.159</v>
      </c>
      <c r="G19" s="112">
        <v>0.158</v>
      </c>
      <c r="H19" s="112">
        <v>0.14899999999999999</v>
      </c>
      <c r="I19" s="117"/>
      <c r="J19" s="112">
        <v>0.159</v>
      </c>
      <c r="K19" s="117"/>
      <c r="L19" s="112">
        <v>0.16600000000000001</v>
      </c>
      <c r="M19" s="112">
        <v>0.16600000000000001</v>
      </c>
      <c r="N19" s="112">
        <v>0.16400000000000001</v>
      </c>
      <c r="O19" s="112">
        <v>0.151</v>
      </c>
      <c r="P19" s="117"/>
      <c r="Q19" s="112">
        <v>0.16200000000000001</v>
      </c>
      <c r="S19" s="112">
        <v>0.19</v>
      </c>
      <c r="T19" s="112">
        <v>0.16500000000000001</v>
      </c>
      <c r="U19" s="112">
        <v>0.17499999999999999</v>
      </c>
      <c r="V19" s="112">
        <v>0.17899999999999999</v>
      </c>
      <c r="X19" s="112">
        <v>0.17699999999999999</v>
      </c>
    </row>
    <row r="20" spans="1:24" s="47" customFormat="1" ht="16.5" x14ac:dyDescent="0.25">
      <c r="A20" s="114"/>
      <c r="B20" s="68"/>
      <c r="C20" s="68"/>
      <c r="D20" s="106"/>
      <c r="E20" s="68"/>
      <c r="F20" s="68"/>
      <c r="G20" s="68"/>
      <c r="H20" s="68"/>
      <c r="I20" s="106"/>
      <c r="J20" s="68"/>
      <c r="K20" s="106"/>
      <c r="L20" s="68"/>
      <c r="M20" s="68"/>
      <c r="N20" s="68"/>
      <c r="O20" s="68"/>
      <c r="P20" s="106"/>
      <c r="Q20" s="68"/>
      <c r="S20" s="68"/>
      <c r="T20" s="68"/>
      <c r="U20" s="68"/>
      <c r="V20" s="68"/>
      <c r="X20" s="68"/>
    </row>
    <row r="21" spans="1:24" s="47" customFormat="1" ht="16.5" x14ac:dyDescent="0.25">
      <c r="B21" s="52"/>
      <c r="C21" s="52"/>
      <c r="E21" s="52"/>
      <c r="F21" s="52"/>
      <c r="G21" s="52"/>
      <c r="H21" s="52"/>
      <c r="J21" s="52"/>
      <c r="L21" s="52"/>
      <c r="M21" s="52"/>
      <c r="N21" s="52"/>
      <c r="O21" s="52"/>
      <c r="Q21" s="52"/>
      <c r="S21" s="52"/>
      <c r="T21" s="52"/>
      <c r="U21" s="52"/>
      <c r="V21" s="52"/>
      <c r="X21" s="52"/>
    </row>
    <row r="22" spans="1:24" s="47" customFormat="1" ht="16.5" x14ac:dyDescent="0.25">
      <c r="A22" s="65" t="s">
        <v>63</v>
      </c>
      <c r="B22" s="52"/>
      <c r="C22" s="52"/>
      <c r="E22" s="52"/>
      <c r="F22" s="52"/>
      <c r="G22" s="52"/>
      <c r="H22" s="52"/>
      <c r="J22" s="52"/>
      <c r="L22" s="52"/>
      <c r="M22" s="52"/>
      <c r="N22" s="52"/>
      <c r="O22" s="52"/>
      <c r="Q22" s="52"/>
      <c r="S22" s="52"/>
      <c r="T22" s="52"/>
      <c r="U22" s="52"/>
      <c r="V22" s="52"/>
      <c r="X22" s="52"/>
    </row>
    <row r="23" spans="1:24" s="47" customFormat="1" ht="16.5" x14ac:dyDescent="0.25">
      <c r="A23" s="58" t="s">
        <v>61</v>
      </c>
      <c r="B23" s="56">
        <f>+'CES Operating Expenses'!B23+'CIS Operating Expenses'!B23</f>
        <v>221.13900000000001</v>
      </c>
      <c r="C23" s="56">
        <f>+'CES Operating Expenses'!C23+'CIS Operating Expenses'!C23</f>
        <v>229.05</v>
      </c>
      <c r="D23" s="111"/>
      <c r="E23" s="56">
        <f>+'CES Operating Expenses'!E23+'CIS Operating Expenses'!E23</f>
        <v>58.771000000000001</v>
      </c>
      <c r="F23" s="56">
        <f>+'CES Operating Expenses'!F23+'CIS Operating Expenses'!F23</f>
        <v>59.715999999999994</v>
      </c>
      <c r="G23" s="56">
        <f>+'CES Operating Expenses'!G23+'CIS Operating Expenses'!G23</f>
        <v>57.031000000000006</v>
      </c>
      <c r="H23" s="56">
        <f>+'CES Operating Expenses'!H23+'CIS Operating Expenses'!H23</f>
        <v>63.787999999999997</v>
      </c>
      <c r="I23" s="111"/>
      <c r="J23" s="56">
        <f>+'CES Operating Expenses'!J23+'CIS Operating Expenses'!J23</f>
        <v>239.30600000000001</v>
      </c>
      <c r="K23" s="111"/>
      <c r="L23" s="56">
        <f>+'CES Operating Expenses'!L23+'CIS Operating Expenses'!L23</f>
        <v>69.759</v>
      </c>
      <c r="M23" s="56">
        <f>+'CES Operating Expenses'!M23+'CIS Operating Expenses'!M23</f>
        <v>70.477999999999994</v>
      </c>
      <c r="N23" s="56">
        <f>+'CES Operating Expenses'!N23+'CIS Operating Expenses'!N23</f>
        <v>64.63900000000001</v>
      </c>
      <c r="O23" s="56">
        <f>+'CES Operating Expenses'!O23+'CIS Operating Expenses'!O23</f>
        <v>66.013000000000005</v>
      </c>
      <c r="P23" s="111"/>
      <c r="Q23" s="56">
        <f>+'CES Operating Expenses'!Q23+'CIS Operating Expenses'!Q23</f>
        <v>270.892</v>
      </c>
      <c r="S23" s="56">
        <f>+'CES Operating Expenses'!S23+'CIS Operating Expenses'!S23</f>
        <v>62.540999999999997</v>
      </c>
      <c r="T23" s="56">
        <f>+'CES Operating Expenses'!T23+'CIS Operating Expenses'!T23</f>
        <v>53.814000000000007</v>
      </c>
      <c r="U23" s="56">
        <f>+'CES Operating Expenses'!U23+'CIS Operating Expenses'!U23</f>
        <v>58.872999999999998</v>
      </c>
      <c r="V23" s="56">
        <f>+'CES Operating Expenses'!V23+'CIS Operating Expenses'!V23</f>
        <v>67.322000000000003</v>
      </c>
      <c r="X23" s="56">
        <f>+'CES Operating Expenses'!X23+'CIS Operating Expenses'!X23</f>
        <v>242.55</v>
      </c>
    </row>
    <row r="24" spans="1:24" s="47" customFormat="1" ht="16.5" x14ac:dyDescent="0.25">
      <c r="A24" s="58" t="s">
        <v>201</v>
      </c>
      <c r="B24" s="61">
        <f>+'CES Operating Expenses'!B24+'CIS Operating Expenses'!B24</f>
        <v>45.384</v>
      </c>
      <c r="C24" s="61">
        <f>+'CES Operating Expenses'!C24+'CIS Operating Expenses'!C24</f>
        <v>47.757000000000005</v>
      </c>
      <c r="D24" s="111"/>
      <c r="E24" s="61">
        <f>+'CES Operating Expenses'!E24+'CIS Operating Expenses'!E24</f>
        <v>14.104000000000001</v>
      </c>
      <c r="F24" s="61">
        <f>+'CES Operating Expenses'!F24+'CIS Operating Expenses'!F24</f>
        <v>12.471</v>
      </c>
      <c r="G24" s="61">
        <f>+'CES Operating Expenses'!G24+'CIS Operating Expenses'!G24</f>
        <v>12.483000000000001</v>
      </c>
      <c r="H24" s="61">
        <f>+'CES Operating Expenses'!H24+'CIS Operating Expenses'!H24</f>
        <v>11.994</v>
      </c>
      <c r="I24" s="111"/>
      <c r="J24" s="61">
        <f>+'CES Operating Expenses'!J24+'CIS Operating Expenses'!J24</f>
        <v>51.052</v>
      </c>
      <c r="K24" s="111"/>
      <c r="L24" s="61">
        <f>+'CES Operating Expenses'!L24+'CIS Operating Expenses'!L24</f>
        <v>13.109000000000002</v>
      </c>
      <c r="M24" s="61">
        <f>+'CES Operating Expenses'!M24+'CIS Operating Expenses'!M24</f>
        <v>15.17</v>
      </c>
      <c r="N24" s="61">
        <f>+'CES Operating Expenses'!N24+'CIS Operating Expenses'!N24</f>
        <v>13.805</v>
      </c>
      <c r="O24" s="61">
        <f>+'CES Operating Expenses'!O24+'CIS Operating Expenses'!O24</f>
        <v>19.004000000000001</v>
      </c>
      <c r="P24" s="111"/>
      <c r="Q24" s="61">
        <f>+'CES Operating Expenses'!Q24+'CIS Operating Expenses'!Q24</f>
        <v>61.088000000000001</v>
      </c>
      <c r="S24" s="61">
        <f>+'CES Operating Expenses'!S24+'CIS Operating Expenses'!S24</f>
        <v>10.881</v>
      </c>
      <c r="T24" s="61">
        <f>+'CES Operating Expenses'!T24+'CIS Operating Expenses'!T24</f>
        <v>12.702999999999999</v>
      </c>
      <c r="U24" s="61">
        <f>+'CES Operating Expenses'!U24+'CIS Operating Expenses'!U24</f>
        <v>14.786999999999999</v>
      </c>
      <c r="V24" s="61">
        <f>+'CES Operating Expenses'!V24+'CIS Operating Expenses'!V24</f>
        <v>9.152000000000001</v>
      </c>
      <c r="X24" s="61">
        <f>+'CES Operating Expenses'!X24+'CIS Operating Expenses'!X24</f>
        <v>47.522999999999996</v>
      </c>
    </row>
    <row r="25" spans="1:24" s="47" customFormat="1" ht="16.5" x14ac:dyDescent="0.25">
      <c r="A25" s="58" t="s">
        <v>202</v>
      </c>
      <c r="B25" s="104">
        <f>+'CES Operating Expenses'!B25+'CIS Operating Expenses'!B25</f>
        <v>140.429</v>
      </c>
      <c r="C25" s="104">
        <f>+'CES Operating Expenses'!C25+'CIS Operating Expenses'!C25</f>
        <v>138.15299999999999</v>
      </c>
      <c r="D25" s="121"/>
      <c r="E25" s="104">
        <f>+'CES Operating Expenses'!E25+'CIS Operating Expenses'!E25</f>
        <v>34.622</v>
      </c>
      <c r="F25" s="104">
        <f>+'CES Operating Expenses'!F25+'CIS Operating Expenses'!F25</f>
        <v>31.896000000000001</v>
      </c>
      <c r="G25" s="104">
        <f>+'CES Operating Expenses'!G25+'CIS Operating Expenses'!G25</f>
        <v>30.387999999999998</v>
      </c>
      <c r="H25" s="104">
        <f>+'CES Operating Expenses'!H25+'CIS Operating Expenses'!H25</f>
        <v>38.918999999999997</v>
      </c>
      <c r="I25" s="121"/>
      <c r="J25" s="104">
        <f>+'CES Operating Expenses'!J25+'CIS Operating Expenses'!J25</f>
        <v>135.82500000000002</v>
      </c>
      <c r="K25" s="121"/>
      <c r="L25" s="104">
        <f>+'CES Operating Expenses'!L25+'CIS Operating Expenses'!L25</f>
        <v>38.854999999999997</v>
      </c>
      <c r="M25" s="104">
        <f>+'CES Operating Expenses'!M25+'CIS Operating Expenses'!M25</f>
        <v>40.611999999999995</v>
      </c>
      <c r="N25" s="104">
        <f>+'CES Operating Expenses'!N25+'CIS Operating Expenses'!N25</f>
        <v>37.862000000000002</v>
      </c>
      <c r="O25" s="104">
        <f>+'CES Operating Expenses'!O25+'CIS Operating Expenses'!O25</f>
        <v>39.561999999999998</v>
      </c>
      <c r="P25" s="121"/>
      <c r="Q25" s="104">
        <f>+'CES Operating Expenses'!Q25+'CIS Operating Expenses'!Q25</f>
        <v>156.89100000000002</v>
      </c>
      <c r="R25" s="105"/>
      <c r="S25" s="104">
        <f>+'CES Operating Expenses'!S25+'CIS Operating Expenses'!S25</f>
        <v>38.228999999999999</v>
      </c>
      <c r="T25" s="104">
        <f>+'CES Operating Expenses'!T25+'CIS Operating Expenses'!T25</f>
        <v>38.888999999999996</v>
      </c>
      <c r="U25" s="104">
        <f>+'CES Operating Expenses'!U25+'CIS Operating Expenses'!U25</f>
        <v>44.423999999999999</v>
      </c>
      <c r="V25" s="104">
        <f>+'CES Operating Expenses'!V25+'CIS Operating Expenses'!V25</f>
        <v>66.626999999999995</v>
      </c>
      <c r="W25" s="105"/>
      <c r="X25" s="104">
        <f>+'CES Operating Expenses'!X25+'CIS Operating Expenses'!X25</f>
        <v>188.16900000000001</v>
      </c>
    </row>
    <row r="26" spans="1:24" s="47" customFormat="1" ht="33" x14ac:dyDescent="0.25">
      <c r="A26" s="114" t="s">
        <v>64</v>
      </c>
      <c r="B26" s="115">
        <f>SUM(B23:B25)</f>
        <v>406.952</v>
      </c>
      <c r="C26" s="115">
        <f>SUM(C23:C25)</f>
        <v>414.96000000000004</v>
      </c>
      <c r="D26" s="117"/>
      <c r="E26" s="115">
        <f>SUM(E23:E25)</f>
        <v>107.497</v>
      </c>
      <c r="F26" s="115">
        <f>SUM(F23:F25)</f>
        <v>104.083</v>
      </c>
      <c r="G26" s="115">
        <f>SUM(G23:G25)</f>
        <v>99.902000000000015</v>
      </c>
      <c r="H26" s="115">
        <f>SUM(H23:H25)</f>
        <v>114.70099999999999</v>
      </c>
      <c r="I26" s="117"/>
      <c r="J26" s="115">
        <f>SUM(J23:J25)</f>
        <v>426.18299999999999</v>
      </c>
      <c r="K26" s="117"/>
      <c r="L26" s="115">
        <f>SUM(L23:L25)</f>
        <v>121.72299999999998</v>
      </c>
      <c r="M26" s="115">
        <f>SUM(M23:M25)</f>
        <v>126.25999999999999</v>
      </c>
      <c r="N26" s="115">
        <f>SUM(N23:N25)</f>
        <v>116.30600000000001</v>
      </c>
      <c r="O26" s="115">
        <f>SUM(O23:O25)</f>
        <v>124.57900000000001</v>
      </c>
      <c r="P26" s="117"/>
      <c r="Q26" s="115">
        <f>SUM(Q23:Q25)</f>
        <v>488.87100000000004</v>
      </c>
      <c r="R26" s="117"/>
      <c r="S26" s="115">
        <f>SUM(S23:S25)</f>
        <v>111.651</v>
      </c>
      <c r="T26" s="115">
        <f>SUM(T23:T25)</f>
        <v>105.40600000000001</v>
      </c>
      <c r="U26" s="115">
        <f>SUM(U23:U25)</f>
        <v>118.084</v>
      </c>
      <c r="V26" s="115">
        <f>SUM(V23:V25)</f>
        <v>143.101</v>
      </c>
      <c r="W26" s="106"/>
      <c r="X26" s="115">
        <f>SUM(X23:X25)</f>
        <v>478.24199999999996</v>
      </c>
    </row>
    <row r="27" spans="1:24" s="47" customFormat="1" ht="16.5" x14ac:dyDescent="0.25">
      <c r="A27" s="65" t="s">
        <v>107</v>
      </c>
      <c r="B27" s="112">
        <v>0.38300000000000001</v>
      </c>
      <c r="C27" s="112">
        <v>0.36599999999999999</v>
      </c>
      <c r="D27" s="117"/>
      <c r="E27" s="112">
        <v>0.372</v>
      </c>
      <c r="F27" s="112">
        <v>0.34</v>
      </c>
      <c r="G27" s="112">
        <v>0.32900000000000001</v>
      </c>
      <c r="H27" s="112">
        <v>0.34699999999999998</v>
      </c>
      <c r="I27" s="117"/>
      <c r="J27" s="112">
        <v>0.34699999999999998</v>
      </c>
      <c r="K27" s="117"/>
      <c r="L27" s="112">
        <v>0.38600000000000001</v>
      </c>
      <c r="M27" s="112">
        <v>0.38900000000000001</v>
      </c>
      <c r="N27" s="112">
        <v>0.35799999999999998</v>
      </c>
      <c r="O27" s="112">
        <v>0.36699999999999999</v>
      </c>
      <c r="P27" s="117"/>
      <c r="Q27" s="112">
        <v>0.375</v>
      </c>
      <c r="R27" s="117"/>
      <c r="S27" s="112">
        <v>0.38900000000000001</v>
      </c>
      <c r="T27" s="112">
        <v>0.34100000000000003</v>
      </c>
      <c r="U27" s="112">
        <v>0.36</v>
      </c>
      <c r="V27" s="112">
        <v>0.41</v>
      </c>
      <c r="W27" s="106"/>
      <c r="X27" s="112">
        <v>0.375</v>
      </c>
    </row>
    <row r="28" spans="1:24" s="47" customFormat="1" ht="16.5" x14ac:dyDescent="0.25"/>
    <row r="29" spans="1:24" s="47" customFormat="1" ht="16.5" x14ac:dyDescent="0.25">
      <c r="A29" s="58" t="s">
        <v>201</v>
      </c>
      <c r="B29" s="61">
        <f>+-B24</f>
        <v>-45.384</v>
      </c>
      <c r="C29" s="61">
        <f>+-C24</f>
        <v>-47.757000000000005</v>
      </c>
      <c r="D29" s="74"/>
      <c r="E29" s="61">
        <f>+-E24</f>
        <v>-14.104000000000001</v>
      </c>
      <c r="F29" s="61">
        <f>+-F24</f>
        <v>-12.471</v>
      </c>
      <c r="G29" s="61">
        <f>+-G24</f>
        <v>-12.483000000000001</v>
      </c>
      <c r="H29" s="61">
        <f>+-H24</f>
        <v>-11.994</v>
      </c>
      <c r="I29" s="74"/>
      <c r="J29" s="61">
        <f>+-J24</f>
        <v>-51.052</v>
      </c>
      <c r="K29" s="74"/>
      <c r="L29" s="61">
        <f>+-L24</f>
        <v>-13.109000000000002</v>
      </c>
      <c r="M29" s="61">
        <f>+-M24</f>
        <v>-15.17</v>
      </c>
      <c r="N29" s="61">
        <f>+-N24</f>
        <v>-13.805</v>
      </c>
      <c r="O29" s="61">
        <f>+-O24</f>
        <v>-19.004000000000001</v>
      </c>
      <c r="P29" s="74"/>
      <c r="Q29" s="61">
        <f>+-Q24</f>
        <v>-61.088000000000001</v>
      </c>
      <c r="R29" s="106"/>
      <c r="S29" s="61">
        <f>+-S24</f>
        <v>-10.881</v>
      </c>
      <c r="T29" s="61">
        <f>+-T24</f>
        <v>-12.702999999999999</v>
      </c>
      <c r="U29" s="61">
        <f>+-U24</f>
        <v>-14.786999999999999</v>
      </c>
      <c r="V29" s="61">
        <f>+-V24</f>
        <v>-9.152000000000001</v>
      </c>
      <c r="W29" s="106"/>
      <c r="X29" s="61">
        <f>+-X24</f>
        <v>-47.522999999999996</v>
      </c>
    </row>
    <row r="30" spans="1:24" s="47" customFormat="1" ht="16.5" x14ac:dyDescent="0.25">
      <c r="A30" s="58" t="s">
        <v>203</v>
      </c>
      <c r="B30" s="61">
        <f>+'CES Operating Expenses'!B30+'CIS Operating Expenses'!B30</f>
        <v>-12.675000000000001</v>
      </c>
      <c r="C30" s="61">
        <f>+'CES Operating Expenses'!C30+'CIS Operating Expenses'!C30</f>
        <v>-1.5</v>
      </c>
      <c r="D30" s="111"/>
      <c r="E30" s="61">
        <f>+'CES Operating Expenses'!E30+'CIS Operating Expenses'!E30</f>
        <v>-2.2999999999999998</v>
      </c>
      <c r="F30" s="61">
        <f>+'CES Operating Expenses'!F30+'CIS Operating Expenses'!F30</f>
        <v>-0.1</v>
      </c>
      <c r="G30" s="61">
        <f>+'CES Operating Expenses'!G30+'CIS Operating Expenses'!G30</f>
        <v>-1.879</v>
      </c>
      <c r="H30" s="61">
        <f>+'CES Operating Expenses'!H30+'CIS Operating Expenses'!H30</f>
        <v>-5.093</v>
      </c>
      <c r="I30" s="111"/>
      <c r="J30" s="61">
        <f>+'CES Operating Expenses'!J30+'CIS Operating Expenses'!J30</f>
        <v>-9.3760000000000012</v>
      </c>
      <c r="K30" s="111"/>
      <c r="L30" s="61">
        <f>+'CES Operating Expenses'!L30+'CIS Operating Expenses'!L30</f>
        <v>-3.7</v>
      </c>
      <c r="M30" s="61">
        <f>+'CES Operating Expenses'!M30+'CIS Operating Expenses'!M30</f>
        <v>-2.2909999999999999</v>
      </c>
      <c r="N30" s="61">
        <f>+'CES Operating Expenses'!N30+'CIS Operating Expenses'!N30</f>
        <v>-2.0329999999999999</v>
      </c>
      <c r="O30" s="61">
        <f>+'CES Operating Expenses'!O30+'CIS Operating Expenses'!O30</f>
        <v>-1.9910000000000001</v>
      </c>
      <c r="P30" s="111"/>
      <c r="Q30" s="61">
        <f>+'CES Operating Expenses'!Q30+'CIS Operating Expenses'!Q30</f>
        <v>-9.9740000000000002</v>
      </c>
      <c r="R30" s="106"/>
      <c r="S30" s="61">
        <f>+'CES Operating Expenses'!S30+'CIS Operating Expenses'!S30</f>
        <v>3.7989999999999999</v>
      </c>
      <c r="T30" s="61">
        <f>+'CES Operating Expenses'!T30+'CIS Operating Expenses'!T30</f>
        <v>-2.4390000000000001</v>
      </c>
      <c r="U30" s="61">
        <f>+'CES Operating Expenses'!U30+'CIS Operating Expenses'!U30</f>
        <v>1.3759999999999999</v>
      </c>
      <c r="V30" s="61">
        <f>+'CES Operating Expenses'!V30+'CIS Operating Expenses'!V30</f>
        <v>-4.0140000000000002</v>
      </c>
      <c r="W30" s="106"/>
      <c r="X30" s="61">
        <f>+'CES Operating Expenses'!X30+'CIS Operating Expenses'!X30</f>
        <v>-1.2780000000000002</v>
      </c>
    </row>
    <row r="31" spans="1:24" s="47" customFormat="1" ht="16.5" x14ac:dyDescent="0.25">
      <c r="A31" s="58" t="s">
        <v>204</v>
      </c>
      <c r="B31" s="61">
        <f>+'CES Operating Expenses'!B31+'CIS Operating Expenses'!B31</f>
        <v>-11.706</v>
      </c>
      <c r="C31" s="61">
        <f>+'CES Operating Expenses'!C31+'CIS Operating Expenses'!C31</f>
        <v>-10.4</v>
      </c>
      <c r="D31" s="111"/>
      <c r="E31" s="61">
        <f>+'CES Operating Expenses'!E31+'CIS Operating Expenses'!E31</f>
        <v>-0.60000000000000009</v>
      </c>
      <c r="F31" s="61">
        <f>+'CES Operating Expenses'!F31+'CIS Operating Expenses'!F31</f>
        <v>-0.2</v>
      </c>
      <c r="G31" s="61">
        <f>+'CES Operating Expenses'!G31+'CIS Operating Expenses'!G31</f>
        <v>-0.71699999999999997</v>
      </c>
      <c r="H31" s="61">
        <f>+'CES Operating Expenses'!H31+'CIS Operating Expenses'!H31</f>
        <v>-1.4379999999999999</v>
      </c>
      <c r="I31" s="111"/>
      <c r="J31" s="61">
        <f>+'CES Operating Expenses'!J31+'CIS Operating Expenses'!J31</f>
        <v>-2.9619999999999997</v>
      </c>
      <c r="K31" s="111"/>
      <c r="L31" s="61">
        <f>+'CES Operating Expenses'!L31+'CIS Operating Expenses'!L31</f>
        <v>-0.5</v>
      </c>
      <c r="M31" s="61">
        <f>+'CES Operating Expenses'!M31+'CIS Operating Expenses'!M31</f>
        <v>-0.46099999999999997</v>
      </c>
      <c r="N31" s="61">
        <f>+'CES Operating Expenses'!N31+'CIS Operating Expenses'!N31</f>
        <v>-1.101</v>
      </c>
      <c r="O31" s="61">
        <f>+'CES Operating Expenses'!O31+'CIS Operating Expenses'!O31</f>
        <v>-0.64700000000000002</v>
      </c>
      <c r="P31" s="111"/>
      <c r="Q31" s="61">
        <f>+'CES Operating Expenses'!Q31+'CIS Operating Expenses'!Q31</f>
        <v>-2.7389999999999999</v>
      </c>
      <c r="R31" s="106"/>
      <c r="S31" s="61">
        <f>+'CES Operating Expenses'!S31+'CIS Operating Expenses'!S31</f>
        <v>-2.9390000000000001</v>
      </c>
      <c r="T31" s="61">
        <f>+'CES Operating Expenses'!T31+'CIS Operating Expenses'!T31</f>
        <v>-0.64800000000000002</v>
      </c>
      <c r="U31" s="61">
        <f>+'CES Operating Expenses'!U31+'CIS Operating Expenses'!U31</f>
        <v>-0.79300000000000004</v>
      </c>
      <c r="V31" s="61">
        <f>+'CES Operating Expenses'!V31+'CIS Operating Expenses'!V31</f>
        <v>-3.9870000000000001</v>
      </c>
      <c r="W31" s="106"/>
      <c r="X31" s="61">
        <f>+'CES Operating Expenses'!X31+'CIS Operating Expenses'!X31</f>
        <v>-8.3670000000000009</v>
      </c>
    </row>
    <row r="32" spans="1:24" s="47" customFormat="1" ht="16.5" x14ac:dyDescent="0.25">
      <c r="A32" s="58" t="s">
        <v>316</v>
      </c>
      <c r="B32" s="61">
        <f>+'CES Operating Expenses'!B32+'CIS Operating Expenses'!B32</f>
        <v>-0.58099999999999996</v>
      </c>
      <c r="C32" s="61">
        <f>+'CES Operating Expenses'!C32+'CIS Operating Expenses'!C32</f>
        <v>-1.29</v>
      </c>
      <c r="D32" s="111"/>
      <c r="E32" s="61">
        <f>+'CES Operating Expenses'!E32+'CIS Operating Expenses'!E32</f>
        <v>-9.6000000000000002E-2</v>
      </c>
      <c r="F32" s="61">
        <f>+'CES Operating Expenses'!F32+'CIS Operating Expenses'!F32</f>
        <v>-0.14799999999999999</v>
      </c>
      <c r="G32" s="61">
        <f>+'CES Operating Expenses'!G32+'CIS Operating Expenses'!G32</f>
        <v>-4.2000000000000003E-2</v>
      </c>
      <c r="H32" s="61">
        <f>+'CES Operating Expenses'!H32+'CIS Operating Expenses'!H32</f>
        <v>-2.4E-2</v>
      </c>
      <c r="I32" s="111"/>
      <c r="J32" s="61">
        <f>+'CES Operating Expenses'!J32+'CIS Operating Expenses'!J32</f>
        <v>-0.31</v>
      </c>
      <c r="K32" s="111"/>
      <c r="L32" s="61">
        <f>+'CES Operating Expenses'!L32+'CIS Operating Expenses'!L32</f>
        <v>-3.0000000000000001E-3</v>
      </c>
      <c r="M32" s="61">
        <f>+'CES Operating Expenses'!M32+'CIS Operating Expenses'!M32</f>
        <v>-0.22299999999999998</v>
      </c>
      <c r="N32" s="61">
        <f>+'CES Operating Expenses'!N32+'CIS Operating Expenses'!N32</f>
        <v>-1.4790000000000001</v>
      </c>
      <c r="O32" s="61">
        <f>+'CES Operating Expenses'!O32+'CIS Operating Expenses'!O32</f>
        <v>-3.5830000000000002</v>
      </c>
      <c r="P32" s="111"/>
      <c r="Q32" s="61">
        <f>+'CES Operating Expenses'!Q32+'CIS Operating Expenses'!Q32</f>
        <v>-5.2880000000000003</v>
      </c>
      <c r="R32" s="106"/>
      <c r="S32" s="61">
        <f>+'CES Operating Expenses'!S32+'CIS Operating Expenses'!S32</f>
        <v>-7.7750000000000004</v>
      </c>
      <c r="T32" s="61">
        <f>+'CES Operating Expenses'!T32+'CIS Operating Expenses'!T32</f>
        <v>-6.3469999999999995</v>
      </c>
      <c r="U32" s="61">
        <f>+'CES Operating Expenses'!U32+'CIS Operating Expenses'!U32</f>
        <v>-13.578000000000001</v>
      </c>
      <c r="V32" s="61">
        <f>+'CES Operating Expenses'!V32+'CIS Operating Expenses'!V32</f>
        <v>-19.512999999999998</v>
      </c>
      <c r="W32" s="106"/>
      <c r="X32" s="61">
        <f>+'CES Operating Expenses'!X32+'CIS Operating Expenses'!X32</f>
        <v>-47.212999999999994</v>
      </c>
    </row>
    <row r="33" spans="1:24" s="47" customFormat="1" ht="16.5" x14ac:dyDescent="0.25">
      <c r="A33" s="58" t="s">
        <v>205</v>
      </c>
      <c r="B33" s="61">
        <f>+'CES Operating Expenses'!B33+'CIS Operating Expenses'!B33</f>
        <v>0</v>
      </c>
      <c r="C33" s="61">
        <f>+'CES Operating Expenses'!C33+'CIS Operating Expenses'!C33</f>
        <v>-3.3000000000000003</v>
      </c>
      <c r="D33" s="111"/>
      <c r="E33" s="61">
        <f>+'CES Operating Expenses'!E33+'CIS Operating Expenses'!E33</f>
        <v>0</v>
      </c>
      <c r="F33" s="61">
        <f>+'CES Operating Expenses'!F33+'CIS Operating Expenses'!F33</f>
        <v>0</v>
      </c>
      <c r="G33" s="61">
        <f>+'CES Operating Expenses'!G33+'CIS Operating Expenses'!G33</f>
        <v>0</v>
      </c>
      <c r="H33" s="61">
        <f>+'CES Operating Expenses'!H33+'CIS Operating Expenses'!H33</f>
        <v>0</v>
      </c>
      <c r="I33" s="111"/>
      <c r="J33" s="61">
        <f>+'CES Operating Expenses'!J33+'CIS Operating Expenses'!J33</f>
        <v>0</v>
      </c>
      <c r="K33" s="111"/>
      <c r="L33" s="61">
        <f>+'CES Operating Expenses'!L33+'CIS Operating Expenses'!L33</f>
        <v>0</v>
      </c>
      <c r="M33" s="61">
        <f>+'CES Operating Expenses'!M33+'CIS Operating Expenses'!M33</f>
        <v>0</v>
      </c>
      <c r="N33" s="61">
        <f>+'CES Operating Expenses'!N33+'CIS Operating Expenses'!N33</f>
        <v>0</v>
      </c>
      <c r="O33" s="61">
        <f>+'CES Operating Expenses'!O33+'CIS Operating Expenses'!O33</f>
        <v>0</v>
      </c>
      <c r="P33" s="111"/>
      <c r="Q33" s="61">
        <f>+'CES Operating Expenses'!Q33+'CIS Operating Expenses'!Q33</f>
        <v>0</v>
      </c>
      <c r="R33" s="106"/>
      <c r="S33" s="61">
        <f>+'CES Operating Expenses'!S33+'CIS Operating Expenses'!S33</f>
        <v>0</v>
      </c>
      <c r="T33" s="61">
        <f>+'CES Operating Expenses'!T33+'CIS Operating Expenses'!T33</f>
        <v>0</v>
      </c>
      <c r="U33" s="61">
        <f>+'CES Operating Expenses'!U33+'CIS Operating Expenses'!U33</f>
        <v>0</v>
      </c>
      <c r="V33" s="61">
        <f>+'CES Operating Expenses'!V33+'CIS Operating Expenses'!V33</f>
        <v>0</v>
      </c>
      <c r="W33" s="106"/>
      <c r="X33" s="61">
        <f>+'CES Operating Expenses'!X33+'CIS Operating Expenses'!X33</f>
        <v>0</v>
      </c>
    </row>
    <row r="34" spans="1:24" s="47" customFormat="1" ht="16.5" x14ac:dyDescent="0.25">
      <c r="A34" s="58" t="s">
        <v>206</v>
      </c>
      <c r="B34" s="104">
        <f>+'CES Operating Expenses'!B34+'CIS Operating Expenses'!B34</f>
        <v>-0.38800000000000001</v>
      </c>
      <c r="C34" s="104">
        <f>+'CES Operating Expenses'!C34+'CIS Operating Expenses'!C34</f>
        <v>-0.71</v>
      </c>
      <c r="D34" s="111"/>
      <c r="E34" s="104">
        <f>+'CES Operating Expenses'!E34+'CIS Operating Expenses'!E34</f>
        <v>-0.504</v>
      </c>
      <c r="F34" s="104">
        <f>+'CES Operating Expenses'!F34+'CIS Operating Expenses'!F34</f>
        <v>-0.45200000000000007</v>
      </c>
      <c r="G34" s="104">
        <f>+'CES Operating Expenses'!G34+'CIS Operating Expenses'!G34</f>
        <v>1.54</v>
      </c>
      <c r="H34" s="104">
        <f>+'CES Operating Expenses'!H34+'CIS Operating Expenses'!H34</f>
        <v>0.379</v>
      </c>
      <c r="I34" s="121"/>
      <c r="J34" s="104">
        <f>+'CES Operating Expenses'!J34+'CIS Operating Expenses'!J34</f>
        <v>0.94300000000000006</v>
      </c>
      <c r="K34" s="111"/>
      <c r="L34" s="104">
        <f>+'CES Operating Expenses'!L34+'CIS Operating Expenses'!L34</f>
        <v>-1.9969999999999999</v>
      </c>
      <c r="M34" s="104">
        <f>+'CES Operating Expenses'!M34+'CIS Operating Expenses'!M34</f>
        <v>-5.5090000000000003</v>
      </c>
      <c r="N34" s="104">
        <f>+'CES Operating Expenses'!N34+'CIS Operating Expenses'!N34</f>
        <v>-0.35100000000000009</v>
      </c>
      <c r="O34" s="104">
        <f>+'CES Operating Expenses'!O34+'CIS Operating Expenses'!O34</f>
        <v>-2.222</v>
      </c>
      <c r="P34" s="121"/>
      <c r="Q34" s="104">
        <f>+'CES Operating Expenses'!Q34+'CIS Operating Expenses'!Q34</f>
        <v>-10.137</v>
      </c>
      <c r="S34" s="104">
        <f>+'CES Operating Expenses'!S34+'CIS Operating Expenses'!S34</f>
        <v>-9.2999999999999999E-2</v>
      </c>
      <c r="T34" s="104">
        <f>+'CES Operating Expenses'!T34+'CIS Operating Expenses'!T34</f>
        <v>1.2809999999999999</v>
      </c>
      <c r="U34" s="104">
        <f>+'CES Operating Expenses'!U34+'CIS Operating Expenses'!U34</f>
        <v>1.0999999999999999E-2</v>
      </c>
      <c r="V34" s="104">
        <f>+'CES Operating Expenses'!V34+'CIS Operating Expenses'!V34</f>
        <v>-0.42300000000000004</v>
      </c>
      <c r="X34" s="104">
        <f>+'CES Operating Expenses'!X34+'CIS Operating Expenses'!X34</f>
        <v>0.77599999999999991</v>
      </c>
    </row>
    <row r="35" spans="1:24" s="47" customFormat="1" ht="33" x14ac:dyDescent="0.25">
      <c r="A35" s="114" t="s">
        <v>318</v>
      </c>
      <c r="B35" s="115">
        <f>SUM(B29:B34)+B26</f>
        <v>336.21799999999996</v>
      </c>
      <c r="C35" s="115">
        <f>SUM(C29:C34)+C26</f>
        <v>350.00300000000004</v>
      </c>
      <c r="D35" s="117"/>
      <c r="E35" s="115">
        <f>SUM(E29:E34)+E26</f>
        <v>89.893000000000001</v>
      </c>
      <c r="F35" s="115">
        <f>SUM(F29:F34)+F26</f>
        <v>90.712000000000003</v>
      </c>
      <c r="G35" s="115">
        <f>SUM(G29:G34)+G26</f>
        <v>86.321000000000012</v>
      </c>
      <c r="H35" s="115">
        <f>SUM(H29:H34)+H26</f>
        <v>96.530999999999992</v>
      </c>
      <c r="I35" s="117"/>
      <c r="J35" s="115">
        <f>SUM(J29:J34)+J26</f>
        <v>363.42599999999999</v>
      </c>
      <c r="K35" s="117"/>
      <c r="L35" s="115">
        <f>SUM(L29:L34)+L26</f>
        <v>102.41399999999999</v>
      </c>
      <c r="M35" s="115">
        <f>SUM(M29:M34)+M26</f>
        <v>102.60599999999999</v>
      </c>
      <c r="N35" s="115">
        <f>SUM(N29:N34)+N26</f>
        <v>97.537000000000006</v>
      </c>
      <c r="O35" s="115">
        <f>SUM(O29:O34)+O26</f>
        <v>97.132000000000005</v>
      </c>
      <c r="P35" s="117"/>
      <c r="Q35" s="115">
        <f>SUM(Q29:Q34)+Q26</f>
        <v>399.64500000000004</v>
      </c>
      <c r="R35" s="116"/>
      <c r="S35" s="115">
        <f>SUM(S29:S34)+S26</f>
        <v>93.762</v>
      </c>
      <c r="T35" s="292">
        <f>SUM(T29:T34)+T26</f>
        <v>84.550000000000011</v>
      </c>
      <c r="U35" s="292">
        <f>SUM(U29:U34)+U26</f>
        <v>90.313000000000002</v>
      </c>
      <c r="V35" s="292">
        <f>SUM(V29:V34)+V26</f>
        <v>106.012</v>
      </c>
      <c r="X35" s="115">
        <f>SUM(X29:X34)+X26</f>
        <v>374.63699999999994</v>
      </c>
    </row>
    <row r="36" spans="1:24" s="47" customFormat="1" ht="16.5" x14ac:dyDescent="0.25">
      <c r="A36" s="156" t="s">
        <v>108</v>
      </c>
      <c r="B36" s="112">
        <v>0.313</v>
      </c>
      <c r="C36" s="112">
        <v>0.30399999999999999</v>
      </c>
      <c r="D36" s="117"/>
      <c r="E36" s="112">
        <v>0.308</v>
      </c>
      <c r="F36" s="112">
        <v>0.29399999999999998</v>
      </c>
      <c r="G36" s="112">
        <v>0.28000000000000003</v>
      </c>
      <c r="H36" s="112">
        <v>0.28699999999999998</v>
      </c>
      <c r="I36" s="117"/>
      <c r="J36" s="112">
        <v>0.29199999999999998</v>
      </c>
      <c r="K36" s="117"/>
      <c r="L36" s="112">
        <v>0.316</v>
      </c>
      <c r="M36" s="112">
        <v>0.31</v>
      </c>
      <c r="N36" s="112">
        <v>0.29499999999999998</v>
      </c>
      <c r="O36" s="112">
        <v>0.27800000000000002</v>
      </c>
      <c r="P36" s="117"/>
      <c r="Q36" s="112">
        <v>0.29899999999999999</v>
      </c>
      <c r="R36" s="116"/>
      <c r="S36" s="112">
        <v>0.32100000000000001</v>
      </c>
      <c r="T36" s="112">
        <v>0.27</v>
      </c>
      <c r="U36" s="112">
        <v>0.27300000000000002</v>
      </c>
      <c r="V36" s="112">
        <v>0.30199999999999999</v>
      </c>
      <c r="X36" s="112">
        <v>0.29099999999999998</v>
      </c>
    </row>
    <row r="37" spans="1:24" s="47" customFormat="1" ht="16.5" x14ac:dyDescent="0.25">
      <c r="A37" s="118"/>
      <c r="B37" s="118"/>
      <c r="C37" s="68"/>
      <c r="D37" s="106"/>
      <c r="E37" s="68"/>
      <c r="F37" s="68"/>
      <c r="G37" s="68"/>
      <c r="H37" s="68"/>
      <c r="I37" s="106"/>
      <c r="J37" s="68"/>
      <c r="K37" s="106"/>
      <c r="L37" s="68"/>
      <c r="M37" s="68"/>
      <c r="N37" s="68"/>
      <c r="O37" s="68"/>
      <c r="P37" s="106"/>
      <c r="S37" s="68"/>
      <c r="T37" s="68"/>
      <c r="U37" s="68"/>
      <c r="V37" s="68"/>
    </row>
    <row r="38" spans="1:24" s="8" customFormat="1" x14ac:dyDescent="0.2">
      <c r="A38" s="3"/>
      <c r="B38" s="3"/>
    </row>
    <row r="39" spans="1:24" s="8" customFormat="1" x14ac:dyDescent="0.2">
      <c r="A39" s="3"/>
      <c r="B39" s="3"/>
    </row>
    <row r="40" spans="1:24" s="8" customFormat="1" x14ac:dyDescent="0.2">
      <c r="A40" s="3"/>
      <c r="B40" s="3"/>
    </row>
    <row r="41" spans="1:24" s="8" customFormat="1" x14ac:dyDescent="0.2">
      <c r="A41" s="3"/>
      <c r="B41" s="3"/>
    </row>
    <row r="42" spans="1:24" s="8" customFormat="1" x14ac:dyDescent="0.2">
      <c r="A42" s="3"/>
      <c r="B42" s="3"/>
    </row>
    <row r="43" spans="1:24" s="8" customFormat="1" x14ac:dyDescent="0.2">
      <c r="A43" s="3"/>
      <c r="B43" s="3"/>
    </row>
    <row r="44" spans="1:24" s="8" customFormat="1" x14ac:dyDescent="0.2">
      <c r="A44" s="3"/>
      <c r="B44" s="3"/>
    </row>
    <row r="45" spans="1:24" s="8" customFormat="1" x14ac:dyDescent="0.2">
      <c r="A45" s="3"/>
      <c r="B45" s="3"/>
    </row>
    <row r="46" spans="1:24" s="8" customFormat="1" x14ac:dyDescent="0.2">
      <c r="A46" s="3"/>
      <c r="B46" s="3"/>
    </row>
    <row r="47" spans="1:24" s="8" customFormat="1" x14ac:dyDescent="0.2">
      <c r="A47" s="3"/>
      <c r="B47" s="3"/>
    </row>
    <row r="48" spans="1:24" s="8" customFormat="1" x14ac:dyDescent="0.2">
      <c r="A48" s="3"/>
      <c r="B48" s="3"/>
    </row>
    <row r="49" spans="1:2" s="8" customFormat="1" x14ac:dyDescent="0.2">
      <c r="A49" s="3"/>
      <c r="B49" s="3"/>
    </row>
    <row r="50" spans="1:2" s="8" customFormat="1" x14ac:dyDescent="0.2">
      <c r="A50" s="3"/>
      <c r="B50" s="3"/>
    </row>
    <row r="51" spans="1:2" s="8" customFormat="1" x14ac:dyDescent="0.2">
      <c r="A51" s="3"/>
      <c r="B51" s="3"/>
    </row>
    <row r="52" spans="1:2" s="8" customFormat="1" x14ac:dyDescent="0.2">
      <c r="A52" s="3"/>
      <c r="B52" s="3"/>
    </row>
    <row r="53" spans="1:2" s="8" customFormat="1" x14ac:dyDescent="0.2">
      <c r="A53" s="3"/>
      <c r="B53" s="3"/>
    </row>
    <row r="54" spans="1:2" s="8" customFormat="1" x14ac:dyDescent="0.2">
      <c r="A54" s="3"/>
      <c r="B54" s="3"/>
    </row>
    <row r="55" spans="1:2" s="8" customFormat="1" x14ac:dyDescent="0.2">
      <c r="A55" s="3"/>
      <c r="B55" s="3"/>
    </row>
    <row r="56" spans="1:2" s="8" customFormat="1" x14ac:dyDescent="0.2">
      <c r="A56" s="3"/>
      <c r="B56" s="3"/>
    </row>
    <row r="57" spans="1:2" s="8" customFormat="1" x14ac:dyDescent="0.2">
      <c r="A57" s="3"/>
      <c r="B57" s="3"/>
    </row>
    <row r="58" spans="1:2" s="8" customFormat="1" x14ac:dyDescent="0.2">
      <c r="A58" s="3"/>
      <c r="B58" s="3"/>
    </row>
    <row r="59" spans="1:2" s="8" customFormat="1" x14ac:dyDescent="0.2">
      <c r="A59" s="3"/>
      <c r="B59" s="3"/>
    </row>
    <row r="60" spans="1:2" s="8" customFormat="1" x14ac:dyDescent="0.2">
      <c r="A60" s="3"/>
      <c r="B60" s="3"/>
    </row>
    <row r="61" spans="1:2" s="8" customFormat="1" x14ac:dyDescent="0.2">
      <c r="A61" s="3"/>
      <c r="B61" s="3"/>
    </row>
    <row r="62" spans="1:2" s="8" customFormat="1" x14ac:dyDescent="0.2">
      <c r="A62" s="3"/>
      <c r="B62" s="3"/>
    </row>
    <row r="63" spans="1:2" s="8" customFormat="1" x14ac:dyDescent="0.2">
      <c r="A63" s="3"/>
      <c r="B63" s="3"/>
    </row>
    <row r="64" spans="1:2" s="8" customFormat="1" x14ac:dyDescent="0.2">
      <c r="A64" s="3"/>
      <c r="B64" s="3"/>
    </row>
    <row r="65" spans="1:2" s="8" customFormat="1" x14ac:dyDescent="0.2">
      <c r="A65" s="3"/>
      <c r="B65" s="3"/>
    </row>
    <row r="66" spans="1:2" s="8" customFormat="1" x14ac:dyDescent="0.2">
      <c r="A66" s="3"/>
      <c r="B66" s="3"/>
    </row>
    <row r="67" spans="1:2" s="8" customFormat="1" x14ac:dyDescent="0.2">
      <c r="A67" s="3"/>
      <c r="B67" s="3"/>
    </row>
    <row r="68" spans="1:2" s="8" customFormat="1" x14ac:dyDescent="0.2">
      <c r="A68" s="3"/>
      <c r="B68" s="3"/>
    </row>
    <row r="69" spans="1:2" s="8" customFormat="1" x14ac:dyDescent="0.2">
      <c r="A69" s="3"/>
      <c r="B69" s="3"/>
    </row>
    <row r="70" spans="1:2" s="8" customFormat="1" x14ac:dyDescent="0.2">
      <c r="A70" s="3"/>
      <c r="B70" s="3"/>
    </row>
    <row r="71" spans="1:2" s="8" customFormat="1" x14ac:dyDescent="0.2">
      <c r="A71" s="3"/>
      <c r="B71" s="3"/>
    </row>
    <row r="72" spans="1:2" s="8" customFormat="1" x14ac:dyDescent="0.2">
      <c r="A72" s="3"/>
      <c r="B72" s="3"/>
    </row>
    <row r="73" spans="1:2" s="8" customFormat="1" x14ac:dyDescent="0.2">
      <c r="A73" s="3"/>
      <c r="B73" s="3"/>
    </row>
    <row r="74" spans="1:2" s="8" customFormat="1" x14ac:dyDescent="0.2">
      <c r="A74" s="3"/>
      <c r="B74" s="3"/>
    </row>
    <row r="75" spans="1:2" s="8" customFormat="1" x14ac:dyDescent="0.2">
      <c r="A75" s="3"/>
      <c r="B75" s="3"/>
    </row>
    <row r="76" spans="1:2" s="8" customFormat="1" x14ac:dyDescent="0.2">
      <c r="A76" s="3"/>
      <c r="B76" s="3"/>
    </row>
    <row r="77" spans="1:2" s="8" customFormat="1" x14ac:dyDescent="0.2">
      <c r="A77" s="3"/>
      <c r="B77" s="3"/>
    </row>
    <row r="78" spans="1:2" s="8" customFormat="1" x14ac:dyDescent="0.2">
      <c r="A78" s="3"/>
      <c r="B78" s="3"/>
    </row>
    <row r="79" spans="1:2" s="8" customFormat="1" x14ac:dyDescent="0.2">
      <c r="A79" s="3"/>
      <c r="B79" s="3"/>
    </row>
    <row r="80" spans="1:2" s="8" customFormat="1" x14ac:dyDescent="0.2">
      <c r="A80" s="3"/>
      <c r="B80" s="3"/>
    </row>
    <row r="81" spans="1:2" s="8" customFormat="1" x14ac:dyDescent="0.2">
      <c r="A81" s="3"/>
      <c r="B81" s="3"/>
    </row>
    <row r="82" spans="1:2" s="8" customFormat="1" x14ac:dyDescent="0.2">
      <c r="A82" s="3"/>
      <c r="B82" s="3"/>
    </row>
    <row r="83" spans="1:2" s="8" customFormat="1" x14ac:dyDescent="0.2">
      <c r="A83" s="3"/>
      <c r="B83" s="3"/>
    </row>
    <row r="84" spans="1:2" s="8" customFormat="1" x14ac:dyDescent="0.2">
      <c r="A84" s="3"/>
      <c r="B84" s="3"/>
    </row>
    <row r="85" spans="1:2" s="8" customFormat="1" x14ac:dyDescent="0.2">
      <c r="A85" s="3"/>
      <c r="B85" s="3"/>
    </row>
    <row r="86" spans="1:2" s="8" customFormat="1" x14ac:dyDescent="0.2">
      <c r="A86" s="3"/>
      <c r="B86" s="3"/>
    </row>
    <row r="87" spans="1:2" s="8" customFormat="1" x14ac:dyDescent="0.2">
      <c r="A87" s="3"/>
      <c r="B87" s="3"/>
    </row>
    <row r="88" spans="1:2" s="8" customFormat="1" x14ac:dyDescent="0.2">
      <c r="A88" s="3"/>
      <c r="B88" s="3"/>
    </row>
    <row r="89" spans="1:2" s="8" customFormat="1" x14ac:dyDescent="0.2">
      <c r="A89" s="3"/>
      <c r="B89" s="3"/>
    </row>
    <row r="90" spans="1:2" s="8" customFormat="1" x14ac:dyDescent="0.2">
      <c r="A90" s="3"/>
      <c r="B90" s="3"/>
    </row>
    <row r="91" spans="1:2" s="8" customFormat="1" x14ac:dyDescent="0.2">
      <c r="A91" s="3"/>
      <c r="B91" s="3"/>
    </row>
    <row r="92" spans="1:2" s="8" customFormat="1" x14ac:dyDescent="0.2">
      <c r="A92" s="3"/>
      <c r="B92" s="3"/>
    </row>
    <row r="93" spans="1:2" s="8" customFormat="1" x14ac:dyDescent="0.2">
      <c r="A93" s="3"/>
      <c r="B93" s="3"/>
    </row>
    <row r="94" spans="1:2" s="8" customFormat="1" x14ac:dyDescent="0.2">
      <c r="A94" s="3"/>
      <c r="B94" s="3"/>
    </row>
    <row r="95" spans="1:2" s="8" customFormat="1" x14ac:dyDescent="0.2">
      <c r="A95" s="3"/>
      <c r="B95" s="3"/>
    </row>
    <row r="96" spans="1:2" s="8" customFormat="1" x14ac:dyDescent="0.2">
      <c r="A96" s="3"/>
      <c r="B96" s="3"/>
    </row>
    <row r="97" spans="1:2" s="8" customFormat="1" x14ac:dyDescent="0.2">
      <c r="A97" s="3"/>
      <c r="B97" s="3"/>
    </row>
    <row r="98" spans="1:2" s="8" customFormat="1" x14ac:dyDescent="0.2">
      <c r="A98" s="3"/>
      <c r="B98" s="3"/>
    </row>
    <row r="99" spans="1:2" s="8" customFormat="1" x14ac:dyDescent="0.2">
      <c r="A99" s="3"/>
      <c r="B99" s="3"/>
    </row>
    <row r="100" spans="1:2" s="8" customFormat="1" x14ac:dyDescent="0.2">
      <c r="A100" s="3"/>
      <c r="B100" s="3"/>
    </row>
    <row r="101" spans="1:2" s="8" customFormat="1" x14ac:dyDescent="0.2">
      <c r="A101" s="3"/>
      <c r="B101" s="3"/>
    </row>
    <row r="102" spans="1:2" s="8" customFormat="1" x14ac:dyDescent="0.2">
      <c r="A102" s="3"/>
      <c r="B102" s="3"/>
    </row>
    <row r="103" spans="1:2" s="8" customFormat="1" x14ac:dyDescent="0.2">
      <c r="A103" s="3"/>
      <c r="B103" s="3"/>
    </row>
    <row r="104" spans="1:2" s="8" customFormat="1" x14ac:dyDescent="0.2">
      <c r="A104" s="3"/>
      <c r="B104" s="3"/>
    </row>
    <row r="105" spans="1:2" s="8" customFormat="1" x14ac:dyDescent="0.2">
      <c r="A105" s="3"/>
      <c r="B105" s="3"/>
    </row>
    <row r="106" spans="1:2" s="8" customFormat="1" x14ac:dyDescent="0.2">
      <c r="A106" s="3"/>
      <c r="B106" s="3"/>
    </row>
    <row r="107" spans="1:2" s="8" customFormat="1" x14ac:dyDescent="0.2">
      <c r="A107" s="3"/>
      <c r="B107" s="3"/>
    </row>
    <row r="108" spans="1:2" s="8" customFormat="1" x14ac:dyDescent="0.2">
      <c r="A108" s="3"/>
      <c r="B108" s="3"/>
    </row>
    <row r="109" spans="1:2" s="8" customFormat="1" x14ac:dyDescent="0.2">
      <c r="A109" s="3"/>
      <c r="B109" s="3"/>
    </row>
    <row r="110" spans="1:2" s="8" customFormat="1" x14ac:dyDescent="0.2">
      <c r="A110" s="3"/>
      <c r="B110" s="3"/>
    </row>
    <row r="111" spans="1:2" s="8" customFormat="1" x14ac:dyDescent="0.2">
      <c r="A111" s="3"/>
      <c r="B111" s="3"/>
    </row>
    <row r="112" spans="1:2" s="8" customFormat="1" x14ac:dyDescent="0.2">
      <c r="A112" s="3"/>
      <c r="B112" s="3"/>
    </row>
    <row r="113" spans="1:2" s="8" customFormat="1" x14ac:dyDescent="0.2">
      <c r="A113" s="3"/>
      <c r="B113" s="3"/>
    </row>
    <row r="114" spans="1:2" s="8" customFormat="1" x14ac:dyDescent="0.2">
      <c r="A114" s="3"/>
      <c r="B114" s="3"/>
    </row>
    <row r="115" spans="1:2" s="8" customFormat="1" x14ac:dyDescent="0.2">
      <c r="A115" s="3"/>
      <c r="B115" s="3"/>
    </row>
    <row r="116" spans="1:2" s="8" customFormat="1" x14ac:dyDescent="0.2">
      <c r="A116" s="3"/>
      <c r="B116" s="3"/>
    </row>
    <row r="117" spans="1:2" s="8" customFormat="1" x14ac:dyDescent="0.2">
      <c r="A117" s="3"/>
      <c r="B117" s="3"/>
    </row>
    <row r="118" spans="1:2" s="8" customFormat="1" x14ac:dyDescent="0.2">
      <c r="A118" s="3"/>
      <c r="B118" s="3"/>
    </row>
    <row r="119" spans="1:2" s="8" customFormat="1" x14ac:dyDescent="0.2">
      <c r="A119" s="3"/>
      <c r="B119" s="3"/>
    </row>
    <row r="120" spans="1:2" s="8" customFormat="1" x14ac:dyDescent="0.2">
      <c r="A120" s="3"/>
      <c r="B120" s="3"/>
    </row>
    <row r="121" spans="1:2" s="8" customFormat="1" x14ac:dyDescent="0.2">
      <c r="A121" s="3"/>
      <c r="B121" s="3"/>
    </row>
    <row r="122" spans="1:2" s="8" customFormat="1" x14ac:dyDescent="0.2">
      <c r="A122" s="3"/>
      <c r="B122" s="3"/>
    </row>
    <row r="123" spans="1:2" s="8" customFormat="1" x14ac:dyDescent="0.2">
      <c r="A123" s="3"/>
      <c r="B123" s="3"/>
    </row>
    <row r="124" spans="1:2" s="8" customFormat="1" x14ac:dyDescent="0.2">
      <c r="A124" s="3"/>
      <c r="B124" s="3"/>
    </row>
    <row r="125" spans="1:2" s="8" customFormat="1" x14ac:dyDescent="0.2">
      <c r="A125" s="3"/>
      <c r="B125" s="3"/>
    </row>
    <row r="126" spans="1:2" s="8" customFormat="1" x14ac:dyDescent="0.2">
      <c r="A126" s="3"/>
      <c r="B126" s="3"/>
    </row>
    <row r="127" spans="1:2" s="8" customFormat="1" x14ac:dyDescent="0.2">
      <c r="A127" s="3"/>
      <c r="B127" s="3"/>
    </row>
    <row r="128" spans="1:2" s="8" customFormat="1" x14ac:dyDescent="0.2">
      <c r="A128" s="3"/>
      <c r="B128" s="3"/>
    </row>
    <row r="129" spans="1:2" s="8" customFormat="1" x14ac:dyDescent="0.2">
      <c r="A129" s="3"/>
      <c r="B129" s="3"/>
    </row>
  </sheetData>
  <mergeCells count="3">
    <mergeCell ref="E3:H3"/>
    <mergeCell ref="L3:O3"/>
    <mergeCell ref="S3:V3"/>
  </mergeCells>
  <pageMargins left="0.25" right="0.25" top="0.75" bottom="0.75" header="0.3" footer="0.3"/>
  <pageSetup scale="3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00FF"/>
    <pageSetUpPr fitToPage="1"/>
  </sheetPr>
  <dimension ref="A1:Z174"/>
  <sheetViews>
    <sheetView zoomScale="65" zoomScaleNormal="65" workbookViewId="0">
      <pane xSplit="1" ySplit="4" topLeftCell="B5" activePane="bottomRight" state="frozen"/>
      <selection activeCell="A30" sqref="A30"/>
      <selection pane="topRight" activeCell="A30" sqref="A30"/>
      <selection pane="bottomLeft" activeCell="A30" sqref="A30"/>
      <selection pane="bottomRight" activeCell="B5" sqref="B5"/>
    </sheetView>
  </sheetViews>
  <sheetFormatPr defaultColWidth="9.140625" defaultRowHeight="14.25" outlineLevelCol="2" x14ac:dyDescent="0.2"/>
  <cols>
    <col min="1" max="1" width="92.42578125" style="4" customWidth="1"/>
    <col min="2" max="3" width="20.7109375" style="4" customWidth="1" outlineLevel="1"/>
    <col min="4" max="4" width="1.7109375" style="3" hidden="1" customWidth="1" outlineLevel="2"/>
    <col min="5" max="8" width="20.7109375" style="4" hidden="1" customWidth="1" outlineLevel="2"/>
    <col min="9" max="9" width="1.7109375" style="8" hidden="1" customWidth="1" outlineLevel="2"/>
    <col min="10" max="10" width="20.7109375" style="4" customWidth="1" outlineLevel="1" collapsed="1"/>
    <col min="11" max="11" width="1.7109375" style="8" customWidth="1"/>
    <col min="12" max="13" width="20.7109375" style="4" customWidth="1" outlineLevel="1"/>
    <col min="14" max="15" width="20.7109375" style="3" customWidth="1" outlineLevel="1"/>
    <col min="16" max="16" width="1.42578125" style="82" customWidth="1"/>
    <col min="17" max="17" width="20.7109375" style="4" customWidth="1"/>
    <col min="18" max="18" width="2.140625" style="8" customWidth="1"/>
    <col min="19" max="22" width="20.7109375" style="3" customWidth="1"/>
    <col min="23" max="23" width="2.140625" style="8" customWidth="1"/>
    <col min="24" max="24" width="20.7109375" style="4" customWidth="1"/>
    <col min="25" max="16384" width="9.140625" style="8"/>
  </cols>
  <sheetData>
    <row r="1" spans="1:24" s="164" customFormat="1" ht="18" x14ac:dyDescent="0.25">
      <c r="A1" s="210" t="s">
        <v>212</v>
      </c>
      <c r="B1" s="163"/>
      <c r="C1" s="163"/>
      <c r="D1" s="163"/>
      <c r="E1" s="163"/>
      <c r="F1" s="163"/>
      <c r="G1" s="163"/>
      <c r="H1" s="163"/>
      <c r="J1" s="163"/>
      <c r="L1" s="163"/>
      <c r="M1" s="163"/>
      <c r="N1" s="163"/>
      <c r="O1" s="163"/>
      <c r="P1" s="82"/>
      <c r="Q1" s="163"/>
      <c r="S1" s="163"/>
      <c r="T1" s="163"/>
      <c r="U1" s="163"/>
      <c r="V1" s="163"/>
      <c r="X1" s="163"/>
    </row>
    <row r="2" spans="1:24" ht="14.25" customHeight="1" x14ac:dyDescent="0.2">
      <c r="A2" s="2"/>
      <c r="B2" s="3"/>
      <c r="C2" s="3"/>
      <c r="E2" s="3"/>
      <c r="F2" s="3"/>
      <c r="G2" s="3"/>
      <c r="H2" s="3"/>
      <c r="J2" s="3"/>
      <c r="L2" s="3"/>
      <c r="M2" s="3"/>
    </row>
    <row r="3" spans="1:24" s="24" customFormat="1" ht="30" customHeight="1" x14ac:dyDescent="0.25">
      <c r="A3" s="78"/>
      <c r="B3" s="196" t="s">
        <v>31</v>
      </c>
      <c r="C3" s="196" t="s">
        <v>31</v>
      </c>
      <c r="E3" s="354" t="s">
        <v>1</v>
      </c>
      <c r="F3" s="354"/>
      <c r="G3" s="354"/>
      <c r="H3" s="354"/>
      <c r="I3" s="82"/>
      <c r="J3" s="81" t="s">
        <v>31</v>
      </c>
      <c r="K3" s="82"/>
      <c r="L3" s="354" t="s">
        <v>1</v>
      </c>
      <c r="M3" s="354"/>
      <c r="N3" s="354"/>
      <c r="O3" s="354"/>
      <c r="P3" s="82"/>
      <c r="Q3" s="262" t="s">
        <v>31</v>
      </c>
      <c r="R3" s="110"/>
      <c r="S3" s="354" t="s">
        <v>1</v>
      </c>
      <c r="T3" s="354"/>
      <c r="U3" s="354"/>
      <c r="V3" s="354"/>
      <c r="X3" s="303" t="s">
        <v>31</v>
      </c>
    </row>
    <row r="4" spans="1:24" s="24" customFormat="1" ht="30" customHeight="1" x14ac:dyDescent="0.25">
      <c r="A4" s="83" t="s">
        <v>0</v>
      </c>
      <c r="B4" s="84" t="s">
        <v>155</v>
      </c>
      <c r="C4" s="84" t="s">
        <v>159</v>
      </c>
      <c r="E4" s="84" t="s">
        <v>156</v>
      </c>
      <c r="F4" s="84" t="s">
        <v>157</v>
      </c>
      <c r="G4" s="84" t="s">
        <v>158</v>
      </c>
      <c r="H4" s="84" t="s">
        <v>100</v>
      </c>
      <c r="I4" s="82"/>
      <c r="J4" s="84" t="s">
        <v>100</v>
      </c>
      <c r="K4" s="82"/>
      <c r="L4" s="84" t="s">
        <v>148</v>
      </c>
      <c r="M4" s="84" t="s">
        <v>149</v>
      </c>
      <c r="N4" s="84" t="s">
        <v>109</v>
      </c>
      <c r="O4" s="84" t="s">
        <v>314</v>
      </c>
      <c r="P4" s="82"/>
      <c r="Q4" s="84" t="s">
        <v>314</v>
      </c>
      <c r="R4" s="86"/>
      <c r="S4" s="84" t="s">
        <v>327</v>
      </c>
      <c r="T4" s="84" t="s">
        <v>330</v>
      </c>
      <c r="U4" s="84" t="s">
        <v>338</v>
      </c>
      <c r="V4" s="84" t="s">
        <v>346</v>
      </c>
      <c r="X4" s="84" t="s">
        <v>346</v>
      </c>
    </row>
    <row r="5" spans="1:24" s="47" customFormat="1" ht="16.5" x14ac:dyDescent="0.25">
      <c r="A5" s="49"/>
      <c r="B5" s="49"/>
    </row>
    <row r="6" spans="1:24" s="47" customFormat="1" ht="16.5" x14ac:dyDescent="0.25">
      <c r="A6" s="49" t="s">
        <v>29</v>
      </c>
      <c r="B6" s="52"/>
      <c r="C6" s="52"/>
      <c r="D6" s="52"/>
      <c r="E6" s="52"/>
      <c r="F6" s="52"/>
      <c r="G6" s="52"/>
      <c r="H6" s="52"/>
      <c r="J6" s="52"/>
      <c r="L6" s="52"/>
      <c r="M6" s="52"/>
      <c r="N6" s="52"/>
      <c r="O6" s="52"/>
      <c r="P6" s="82"/>
      <c r="Q6" s="52"/>
      <c r="S6" s="52"/>
      <c r="T6" s="52"/>
      <c r="U6" s="52"/>
      <c r="V6" s="52"/>
      <c r="X6" s="52"/>
    </row>
    <row r="7" spans="1:24" s="57" customFormat="1" ht="16.5" x14ac:dyDescent="0.25">
      <c r="A7" s="156" t="s">
        <v>2</v>
      </c>
      <c r="B7" s="68">
        <v>-40.799999999999997</v>
      </c>
      <c r="C7" s="68">
        <v>-29.7</v>
      </c>
      <c r="D7" s="68"/>
      <c r="E7" s="68">
        <v>-8.6999999999999993</v>
      </c>
      <c r="F7" s="68">
        <v>-10</v>
      </c>
      <c r="G7" s="68">
        <v>-7.8</v>
      </c>
      <c r="H7" s="68">
        <v>-9.9</v>
      </c>
      <c r="I7" s="106"/>
      <c r="J7" s="68">
        <v>-36.5</v>
      </c>
      <c r="K7" s="106"/>
      <c r="L7" s="68">
        <v>-9.3000000000000007</v>
      </c>
      <c r="M7" s="68">
        <v>-7.5</v>
      </c>
      <c r="N7" s="68">
        <v>-7.6159999999999997</v>
      </c>
      <c r="O7" s="68">
        <v>-10.128</v>
      </c>
      <c r="P7" s="82"/>
      <c r="Q7" s="68">
        <v>-34.552999999999997</v>
      </c>
      <c r="S7" s="68">
        <v>-11.911</v>
      </c>
      <c r="T7" s="68">
        <v>-21.635000000000002</v>
      </c>
      <c r="U7" s="68">
        <v>-17.757000000000001</v>
      </c>
      <c r="V7" s="68">
        <v>-41.179000000000002</v>
      </c>
      <c r="X7" s="68">
        <f>+S7+T7+U7+V7</f>
        <v>-92.481999999999999</v>
      </c>
    </row>
    <row r="8" spans="1:24" s="47" customFormat="1" ht="16.5" x14ac:dyDescent="0.25">
      <c r="A8" s="53" t="s">
        <v>53</v>
      </c>
      <c r="B8" s="157">
        <v>0.5</v>
      </c>
      <c r="C8" s="157">
        <v>-3.2</v>
      </c>
      <c r="D8" s="158"/>
      <c r="E8" s="157">
        <v>-0.5</v>
      </c>
      <c r="F8" s="157">
        <v>0.4</v>
      </c>
      <c r="G8" s="157">
        <v>0.4</v>
      </c>
      <c r="H8" s="157">
        <v>0.9</v>
      </c>
      <c r="I8" s="148"/>
      <c r="J8" s="157">
        <v>1.1000000000000001</v>
      </c>
      <c r="K8" s="148"/>
      <c r="L8" s="157">
        <v>0.7</v>
      </c>
      <c r="M8" s="157">
        <v>0.6</v>
      </c>
      <c r="N8" s="157">
        <v>0.16700000000000001</v>
      </c>
      <c r="O8" s="157">
        <v>0</v>
      </c>
      <c r="P8" s="82"/>
      <c r="Q8" s="157">
        <v>1.4850000000000001</v>
      </c>
      <c r="S8" s="157">
        <v>0</v>
      </c>
      <c r="T8" s="157">
        <v>-0.17299999999999999</v>
      </c>
      <c r="U8" s="157">
        <v>0.93100000000000005</v>
      </c>
      <c r="V8" s="157">
        <v>0.35699999999999998</v>
      </c>
      <c r="X8" s="157">
        <f t="shared" ref="X8:X14" si="0">+S8+T8+U8+V8</f>
        <v>1.115</v>
      </c>
    </row>
    <row r="9" spans="1:24" s="47" customFormat="1" ht="16.5" x14ac:dyDescent="0.25">
      <c r="A9" s="58" t="s">
        <v>5</v>
      </c>
      <c r="B9" s="159">
        <v>10.7</v>
      </c>
      <c r="C9" s="159">
        <v>11.2</v>
      </c>
      <c r="D9" s="122"/>
      <c r="E9" s="159">
        <v>2.9</v>
      </c>
      <c r="F9" s="159">
        <v>2.9</v>
      </c>
      <c r="G9" s="159">
        <v>2.9</v>
      </c>
      <c r="H9" s="159">
        <v>3</v>
      </c>
      <c r="I9" s="122"/>
      <c r="J9" s="159">
        <v>11.9</v>
      </c>
      <c r="K9" s="122"/>
      <c r="L9" s="159">
        <v>3.1</v>
      </c>
      <c r="M9" s="159">
        <v>3.1</v>
      </c>
      <c r="N9" s="159">
        <v>3.1429999999999998</v>
      </c>
      <c r="O9" s="159">
        <v>3.1840000000000002</v>
      </c>
      <c r="P9" s="82"/>
      <c r="Q9" s="159">
        <v>12.49</v>
      </c>
      <c r="S9" s="159">
        <v>3.226</v>
      </c>
      <c r="T9" s="159">
        <v>3.1739999999999999</v>
      </c>
      <c r="U9" s="159">
        <v>3.22</v>
      </c>
      <c r="V9" s="159">
        <v>3.2629999999999999</v>
      </c>
      <c r="X9" s="159">
        <f t="shared" si="0"/>
        <v>12.883000000000001</v>
      </c>
    </row>
    <row r="10" spans="1:24" s="47" customFormat="1" ht="16.5" x14ac:dyDescent="0.25">
      <c r="A10" s="53" t="s">
        <v>336</v>
      </c>
      <c r="B10" s="157">
        <v>0</v>
      </c>
      <c r="C10" s="157">
        <v>2.7</v>
      </c>
      <c r="D10" s="158"/>
      <c r="E10" s="157">
        <v>0</v>
      </c>
      <c r="F10" s="157">
        <v>0</v>
      </c>
      <c r="G10" s="157">
        <v>0</v>
      </c>
      <c r="H10" s="157">
        <v>0</v>
      </c>
      <c r="I10" s="148"/>
      <c r="J10" s="157">
        <v>0</v>
      </c>
      <c r="K10" s="148"/>
      <c r="L10" s="157">
        <v>0</v>
      </c>
      <c r="M10" s="157">
        <v>0</v>
      </c>
      <c r="N10" s="157">
        <v>0</v>
      </c>
      <c r="O10" s="157">
        <v>0</v>
      </c>
      <c r="P10" s="82"/>
      <c r="Q10" s="157">
        <v>0</v>
      </c>
      <c r="S10" s="157">
        <v>0</v>
      </c>
      <c r="T10" s="157">
        <v>1.462</v>
      </c>
      <c r="U10" s="157">
        <v>0</v>
      </c>
      <c r="V10" s="157">
        <v>0</v>
      </c>
      <c r="X10" s="157">
        <f t="shared" si="0"/>
        <v>1.462</v>
      </c>
    </row>
    <row r="11" spans="1:24" s="47" customFormat="1" ht="16.5" x14ac:dyDescent="0.25">
      <c r="A11" s="53" t="s">
        <v>358</v>
      </c>
      <c r="B11" s="157">
        <v>0</v>
      </c>
      <c r="C11" s="157">
        <v>0</v>
      </c>
      <c r="D11" s="158"/>
      <c r="E11" s="157"/>
      <c r="F11" s="157"/>
      <c r="G11" s="157"/>
      <c r="H11" s="157"/>
      <c r="I11" s="148"/>
      <c r="J11" s="157">
        <v>0</v>
      </c>
      <c r="K11" s="148"/>
      <c r="L11" s="157">
        <v>0</v>
      </c>
      <c r="M11" s="157">
        <v>0</v>
      </c>
      <c r="N11" s="157">
        <v>0</v>
      </c>
      <c r="O11" s="157">
        <v>0</v>
      </c>
      <c r="P11" s="82"/>
      <c r="Q11" s="157">
        <v>0</v>
      </c>
      <c r="S11" s="157">
        <v>0</v>
      </c>
      <c r="T11" s="157">
        <v>13.61</v>
      </c>
      <c r="U11" s="157">
        <v>9.2240000000000002</v>
      </c>
      <c r="V11" s="157">
        <v>33.311999999999998</v>
      </c>
      <c r="X11" s="157">
        <f t="shared" si="0"/>
        <v>56.146000000000001</v>
      </c>
    </row>
    <row r="12" spans="1:24" s="47" customFormat="1" ht="16.5" x14ac:dyDescent="0.25">
      <c r="A12" s="58" t="s">
        <v>28</v>
      </c>
      <c r="B12" s="159">
        <v>-0.1</v>
      </c>
      <c r="C12" s="159">
        <v>0.9</v>
      </c>
      <c r="D12" s="122"/>
      <c r="E12" s="159">
        <v>0</v>
      </c>
      <c r="F12" s="159">
        <v>0.3</v>
      </c>
      <c r="G12" s="159">
        <v>0</v>
      </c>
      <c r="H12" s="159">
        <v>0.1</v>
      </c>
      <c r="I12" s="122"/>
      <c r="J12" s="159">
        <v>0.4</v>
      </c>
      <c r="K12" s="122"/>
      <c r="L12" s="159">
        <v>-0.1</v>
      </c>
      <c r="M12" s="159">
        <v>0</v>
      </c>
      <c r="N12" s="159">
        <v>-1.0999999999999999E-2</v>
      </c>
      <c r="O12" s="159">
        <v>-2.1999999999999999E-2</v>
      </c>
      <c r="P12" s="82"/>
      <c r="Q12" s="159">
        <v>-0.09</v>
      </c>
      <c r="S12" s="159">
        <v>1.2E-2</v>
      </c>
      <c r="T12" s="159">
        <v>5.3999999999999999E-2</v>
      </c>
      <c r="U12" s="159">
        <v>-3.7090000000000001</v>
      </c>
      <c r="V12" s="159">
        <v>1.4E-2</v>
      </c>
      <c r="X12" s="159">
        <f t="shared" si="0"/>
        <v>-3.6290000000000004</v>
      </c>
    </row>
    <row r="13" spans="1:24" s="47" customFormat="1" ht="16.5" x14ac:dyDescent="0.25">
      <c r="A13" s="58" t="s">
        <v>19</v>
      </c>
      <c r="B13" s="159">
        <v>0.2</v>
      </c>
      <c r="C13" s="159">
        <v>0.1</v>
      </c>
      <c r="D13" s="122"/>
      <c r="E13" s="159">
        <v>0</v>
      </c>
      <c r="F13" s="159">
        <v>0</v>
      </c>
      <c r="G13" s="159">
        <v>0</v>
      </c>
      <c r="H13" s="159">
        <v>0</v>
      </c>
      <c r="I13" s="122"/>
      <c r="J13" s="159">
        <v>0</v>
      </c>
      <c r="K13" s="122"/>
      <c r="L13" s="159">
        <v>0</v>
      </c>
      <c r="M13" s="159">
        <v>0</v>
      </c>
      <c r="N13" s="159">
        <v>0</v>
      </c>
      <c r="O13" s="159">
        <v>0</v>
      </c>
      <c r="P13" s="82"/>
      <c r="Q13" s="159">
        <v>0</v>
      </c>
      <c r="S13" s="159">
        <v>0</v>
      </c>
      <c r="T13" s="159">
        <v>0</v>
      </c>
      <c r="U13" s="159">
        <v>0</v>
      </c>
      <c r="V13" s="159">
        <v>0</v>
      </c>
      <c r="X13" s="159">
        <f t="shared" si="0"/>
        <v>0</v>
      </c>
    </row>
    <row r="14" spans="1:24" s="47" customFormat="1" ht="16.5" x14ac:dyDescent="0.25">
      <c r="A14" s="58" t="s">
        <v>20</v>
      </c>
      <c r="B14" s="153">
        <v>2.4</v>
      </c>
      <c r="C14" s="153">
        <v>0</v>
      </c>
      <c r="D14" s="160"/>
      <c r="E14" s="153">
        <v>0</v>
      </c>
      <c r="F14" s="153">
        <v>0</v>
      </c>
      <c r="G14" s="153">
        <v>0</v>
      </c>
      <c r="H14" s="153">
        <v>0</v>
      </c>
      <c r="I14" s="122"/>
      <c r="J14" s="153">
        <v>0</v>
      </c>
      <c r="K14" s="122"/>
      <c r="L14" s="153">
        <v>0</v>
      </c>
      <c r="M14" s="153">
        <v>0</v>
      </c>
      <c r="N14" s="153">
        <v>0</v>
      </c>
      <c r="O14" s="153">
        <v>0</v>
      </c>
      <c r="P14" s="82"/>
      <c r="Q14" s="153">
        <v>0</v>
      </c>
      <c r="S14" s="153">
        <v>0</v>
      </c>
      <c r="T14" s="153">
        <v>0</v>
      </c>
      <c r="U14" s="153">
        <v>0</v>
      </c>
      <c r="V14" s="153">
        <v>0</v>
      </c>
      <c r="X14" s="153">
        <f t="shared" si="0"/>
        <v>0</v>
      </c>
    </row>
    <row r="15" spans="1:24" s="47" customFormat="1" ht="16.5" x14ac:dyDescent="0.25">
      <c r="A15" s="65" t="s">
        <v>14</v>
      </c>
      <c r="B15" s="68">
        <f>SUM(B7:B14)</f>
        <v>-27.1</v>
      </c>
      <c r="C15" s="68">
        <f>SUM(C7:C14)</f>
        <v>-18</v>
      </c>
      <c r="D15" s="68"/>
      <c r="E15" s="68">
        <f>SUM(E7:E14)</f>
        <v>-6.2999999999999989</v>
      </c>
      <c r="F15" s="68">
        <f>SUM(F7:F14)</f>
        <v>-6.3999999999999995</v>
      </c>
      <c r="G15" s="68">
        <f>SUM(G7:G14)</f>
        <v>-4.5</v>
      </c>
      <c r="H15" s="68">
        <f>SUM(H7:H14)</f>
        <v>-5.9</v>
      </c>
      <c r="I15" s="106"/>
      <c r="J15" s="68">
        <f>SUM(J7:J14)</f>
        <v>-23.1</v>
      </c>
      <c r="K15" s="106"/>
      <c r="L15" s="68">
        <f>SUM(L7:L14)</f>
        <v>-5.6000000000000014</v>
      </c>
      <c r="M15" s="68">
        <f>SUM(M7:M14)</f>
        <v>-3.8000000000000003</v>
      </c>
      <c r="N15" s="68">
        <f>SUM(N7:N14)</f>
        <v>-4.3170000000000002</v>
      </c>
      <c r="O15" s="68">
        <f>SUM(O7:O14)</f>
        <v>-6.9660000000000002</v>
      </c>
      <c r="P15" s="82"/>
      <c r="Q15" s="68">
        <f>SUM(Q7:Q14)</f>
        <v>-20.667999999999996</v>
      </c>
      <c r="S15" s="68">
        <f>SUM(S7:S14)</f>
        <v>-8.6729999999999983</v>
      </c>
      <c r="T15" s="68">
        <f>SUM(T7:T14)</f>
        <v>-3.5080000000000013</v>
      </c>
      <c r="U15" s="68">
        <f>SUM(U7:U14)</f>
        <v>-8.0909999999999993</v>
      </c>
      <c r="V15" s="68">
        <f>SUM(V7:V14)</f>
        <v>-4.2330000000000068</v>
      </c>
      <c r="X15" s="68">
        <f>SUM(X7:X14)</f>
        <v>-24.505000000000006</v>
      </c>
    </row>
    <row r="16" spans="1:24" s="47" customFormat="1" ht="16.5" x14ac:dyDescent="0.25">
      <c r="A16" s="65"/>
      <c r="B16" s="68"/>
      <c r="C16" s="68"/>
      <c r="D16" s="68"/>
      <c r="E16" s="68"/>
      <c r="F16" s="68"/>
      <c r="G16" s="68"/>
      <c r="H16" s="68"/>
      <c r="I16" s="106"/>
      <c r="J16" s="68"/>
      <c r="K16" s="106"/>
      <c r="L16" s="68"/>
      <c r="M16" s="68"/>
      <c r="N16" s="68"/>
      <c r="O16" s="68"/>
      <c r="P16" s="82"/>
      <c r="Q16" s="68"/>
      <c r="S16" s="68"/>
      <c r="T16" s="68"/>
      <c r="U16" s="68"/>
      <c r="V16" s="68"/>
      <c r="X16" s="68"/>
    </row>
    <row r="17" spans="1:26" s="47" customFormat="1" ht="16.5" x14ac:dyDescent="0.25">
      <c r="A17" s="119" t="s">
        <v>36</v>
      </c>
      <c r="B17" s="52"/>
      <c r="C17" s="52"/>
      <c r="D17" s="52"/>
      <c r="E17" s="52"/>
      <c r="F17" s="52"/>
      <c r="G17" s="52"/>
      <c r="H17" s="52"/>
      <c r="J17" s="52"/>
      <c r="L17" s="52"/>
      <c r="M17" s="52"/>
      <c r="N17" s="52"/>
      <c r="O17" s="52"/>
      <c r="P17" s="82"/>
      <c r="Q17" s="52"/>
      <c r="S17" s="52"/>
      <c r="T17" s="52"/>
      <c r="U17" s="52"/>
      <c r="V17" s="52"/>
      <c r="X17" s="52"/>
    </row>
    <row r="18" spans="1:26" s="57" customFormat="1" ht="16.5" x14ac:dyDescent="0.25">
      <c r="A18" s="65" t="s">
        <v>35</v>
      </c>
      <c r="B18" s="68">
        <v>2.8</v>
      </c>
      <c r="C18" s="68">
        <v>22.4</v>
      </c>
      <c r="D18" s="68"/>
      <c r="E18" s="68">
        <v>0.3</v>
      </c>
      <c r="F18" s="68">
        <v>-3.7</v>
      </c>
      <c r="G18" s="68">
        <v>5.6</v>
      </c>
      <c r="H18" s="68">
        <v>5.4</v>
      </c>
      <c r="I18" s="106"/>
      <c r="J18" s="68">
        <v>7.5</v>
      </c>
      <c r="K18" s="106"/>
      <c r="L18" s="68">
        <v>1.4</v>
      </c>
      <c r="M18" s="68">
        <v>-4.5</v>
      </c>
      <c r="N18" s="68">
        <v>9.218</v>
      </c>
      <c r="O18" s="68">
        <v>11.5</v>
      </c>
      <c r="P18" s="82"/>
      <c r="Q18" s="68">
        <v>17.62</v>
      </c>
      <c r="S18" s="68">
        <v>-1.762</v>
      </c>
      <c r="T18" s="68">
        <v>10.095000000000001</v>
      </c>
      <c r="U18" s="68">
        <v>8.157</v>
      </c>
      <c r="V18" s="68">
        <v>-0.16</v>
      </c>
      <c r="X18" s="68">
        <f t="shared" ref="X18:X20" si="1">+S18+T18+U18+V18</f>
        <v>16.330000000000002</v>
      </c>
    </row>
    <row r="19" spans="1:26" s="57" customFormat="1" ht="16.5" x14ac:dyDescent="0.25">
      <c r="A19" s="65" t="s">
        <v>12</v>
      </c>
      <c r="B19" s="112">
        <v>-0.11799999999999999</v>
      </c>
      <c r="C19" s="112">
        <v>1.1830000000000001</v>
      </c>
      <c r="D19" s="112"/>
      <c r="E19" s="112">
        <v>-0.28799999999999998</v>
      </c>
      <c r="F19" s="112">
        <v>-0.19400000000000001</v>
      </c>
      <c r="G19" s="112">
        <v>0.217</v>
      </c>
      <c r="H19" s="112">
        <v>0.16</v>
      </c>
      <c r="I19" s="123"/>
      <c r="J19" s="112">
        <f>+J70</f>
        <v>9.6988246187083668E-2</v>
      </c>
      <c r="K19" s="123"/>
      <c r="L19" s="112">
        <f>+L70</f>
        <v>0.27253384912959383</v>
      </c>
      <c r="M19" s="112">
        <f>+M70</f>
        <v>-0.58049974240082436</v>
      </c>
      <c r="N19" s="112">
        <f>+N70</f>
        <v>0.41520652222872845</v>
      </c>
      <c r="O19" s="112">
        <v>0.63300000000000001</v>
      </c>
      <c r="P19" s="82"/>
      <c r="Q19" s="112">
        <v>0.33100000000000002</v>
      </c>
      <c r="S19" s="112">
        <v>0.307</v>
      </c>
      <c r="T19" s="112">
        <v>0.48799999999999999</v>
      </c>
      <c r="U19" s="112">
        <v>0.40799999999999997</v>
      </c>
      <c r="V19" s="112">
        <v>8.9999999999999993E-3</v>
      </c>
      <c r="X19" s="112">
        <v>1.0069999999999999</v>
      </c>
    </row>
    <row r="20" spans="1:26" s="47" customFormat="1" ht="16.5" x14ac:dyDescent="0.25">
      <c r="A20" s="58" t="s">
        <v>16</v>
      </c>
      <c r="B20" s="153">
        <v>12.9</v>
      </c>
      <c r="C20" s="153">
        <v>1.6</v>
      </c>
      <c r="D20" s="160"/>
      <c r="E20" s="153">
        <v>4</v>
      </c>
      <c r="F20" s="153">
        <v>9.6999999999999993</v>
      </c>
      <c r="G20" s="153">
        <v>1.4</v>
      </c>
      <c r="H20" s="153">
        <v>4.2</v>
      </c>
      <c r="I20" s="122"/>
      <c r="J20" s="153">
        <v>19.399999999999999</v>
      </c>
      <c r="K20" s="122"/>
      <c r="L20" s="153">
        <v>4</v>
      </c>
      <c r="M20" s="153">
        <v>9.5</v>
      </c>
      <c r="N20" s="153">
        <v>-3.4670000000000001</v>
      </c>
      <c r="O20" s="153">
        <v>-5.9109999999999996</v>
      </c>
      <c r="P20" s="82"/>
      <c r="Q20" s="153">
        <v>4.085</v>
      </c>
      <c r="S20" s="153">
        <v>4.5670000000000002</v>
      </c>
      <c r="T20" s="153">
        <v>-3.9950000000000001</v>
      </c>
      <c r="U20" s="153">
        <v>-2.101</v>
      </c>
      <c r="V20" s="160">
        <v>2.726</v>
      </c>
      <c r="X20" s="160">
        <f t="shared" si="1"/>
        <v>1.1970000000000001</v>
      </c>
      <c r="Z20" s="47" t="s">
        <v>11</v>
      </c>
    </row>
    <row r="21" spans="1:26" s="47" customFormat="1" ht="16.5" x14ac:dyDescent="0.25">
      <c r="A21" s="65" t="s">
        <v>3</v>
      </c>
      <c r="B21" s="68">
        <f>+B18+B20</f>
        <v>15.7</v>
      </c>
      <c r="C21" s="68">
        <f>+C18+C20</f>
        <v>24</v>
      </c>
      <c r="D21" s="68"/>
      <c r="E21" s="68">
        <f>+E18+E20</f>
        <v>4.3</v>
      </c>
      <c r="F21" s="68">
        <f>+F18+F20</f>
        <v>5.9999999999999991</v>
      </c>
      <c r="G21" s="68">
        <f>+G18+G20</f>
        <v>7</v>
      </c>
      <c r="H21" s="68">
        <f>+H18+H20</f>
        <v>9.6000000000000014</v>
      </c>
      <c r="I21" s="106"/>
      <c r="J21" s="68">
        <f>+J18+J20</f>
        <v>26.9</v>
      </c>
      <c r="K21" s="106"/>
      <c r="L21" s="68">
        <f>+L18+L20</f>
        <v>5.4</v>
      </c>
      <c r="M21" s="68">
        <f>+M18+M20</f>
        <v>5</v>
      </c>
      <c r="N21" s="68">
        <f>+N18+N20</f>
        <v>5.7509999999999994</v>
      </c>
      <c r="O21" s="68">
        <f>+O18+O20</f>
        <v>5.5890000000000004</v>
      </c>
      <c r="P21" s="82"/>
      <c r="Q21" s="68">
        <f>+Q18+Q20</f>
        <v>21.705000000000002</v>
      </c>
      <c r="S21" s="68">
        <f>+S18+S20</f>
        <v>2.8050000000000002</v>
      </c>
      <c r="T21" s="68">
        <f>+T18+T20</f>
        <v>6.1000000000000005</v>
      </c>
      <c r="U21" s="68">
        <f>+U18+U20</f>
        <v>6.056</v>
      </c>
      <c r="V21" s="68">
        <f>+V18+V20</f>
        <v>2.5659999999999998</v>
      </c>
      <c r="X21" s="68">
        <f>+X18+X20</f>
        <v>17.527000000000001</v>
      </c>
    </row>
    <row r="22" spans="1:26" s="57" customFormat="1" ht="16.5" x14ac:dyDescent="0.25">
      <c r="A22" s="65" t="s">
        <v>13</v>
      </c>
      <c r="B22" s="112">
        <v>8.7999999999999995E-2</v>
      </c>
      <c r="C22" s="112">
        <v>0.115</v>
      </c>
      <c r="D22" s="112"/>
      <c r="E22" s="112">
        <v>0.107</v>
      </c>
      <c r="F22" s="112">
        <v>0.105</v>
      </c>
      <c r="G22" s="112">
        <v>0.108</v>
      </c>
      <c r="H22" s="112">
        <v>0.11700000000000001</v>
      </c>
      <c r="I22" s="123"/>
      <c r="J22" s="112">
        <f>+J73</f>
        <v>0.11029161419470755</v>
      </c>
      <c r="K22" s="123"/>
      <c r="L22" s="112">
        <f>+L73</f>
        <v>9.5476766143691646E-2</v>
      </c>
      <c r="M22" s="112">
        <f>+M73</f>
        <v>7.9725185435471677E-2</v>
      </c>
      <c r="N22" s="112">
        <f>+N73</f>
        <v>8.2016543069024533E-2</v>
      </c>
      <c r="O22" s="112">
        <v>6.8000000000000005E-2</v>
      </c>
      <c r="P22" s="82"/>
      <c r="Q22" s="112">
        <v>0.08</v>
      </c>
      <c r="S22" s="112">
        <v>7.1999999999999995E-2</v>
      </c>
      <c r="T22" s="112">
        <v>7.4999999999999997E-2</v>
      </c>
      <c r="U22" s="112">
        <v>7.6999999999999999E-2</v>
      </c>
      <c r="V22" s="112">
        <v>3.5000000000000003E-2</v>
      </c>
      <c r="X22" s="112">
        <v>6.4000000000000001E-2</v>
      </c>
    </row>
    <row r="23" spans="1:26" s="47" customFormat="1" ht="16.5" x14ac:dyDescent="0.25">
      <c r="B23" s="52"/>
      <c r="C23" s="52"/>
      <c r="D23" s="52"/>
      <c r="E23" s="52"/>
      <c r="F23" s="52"/>
      <c r="G23" s="52"/>
      <c r="H23" s="52"/>
      <c r="J23" s="52"/>
      <c r="L23" s="52"/>
      <c r="M23" s="52"/>
      <c r="N23" s="52"/>
      <c r="O23" s="52"/>
      <c r="P23" s="82"/>
      <c r="Q23" s="52"/>
      <c r="S23" s="52"/>
      <c r="T23" s="52"/>
      <c r="U23" s="52"/>
      <c r="V23" s="52"/>
      <c r="X23" s="52"/>
    </row>
    <row r="24" spans="1:26" s="47" customFormat="1" ht="33" x14ac:dyDescent="0.25">
      <c r="A24" s="161" t="s">
        <v>333</v>
      </c>
      <c r="B24" s="52"/>
      <c r="C24" s="52"/>
      <c r="D24" s="52"/>
      <c r="E24" s="52"/>
      <c r="F24" s="52"/>
      <c r="G24" s="52"/>
      <c r="H24" s="52"/>
      <c r="J24" s="52"/>
      <c r="L24" s="52"/>
      <c r="M24" s="52"/>
      <c r="N24" s="52"/>
      <c r="O24" s="52"/>
      <c r="P24" s="82"/>
      <c r="Q24" s="52"/>
      <c r="S24" s="52"/>
      <c r="T24" s="52"/>
      <c r="U24" s="52"/>
      <c r="V24" s="52"/>
      <c r="X24" s="52"/>
    </row>
    <row r="25" spans="1:26" s="57" customFormat="1" ht="16.5" x14ac:dyDescent="0.25">
      <c r="A25" s="65" t="s">
        <v>334</v>
      </c>
      <c r="B25" s="68">
        <v>-29.4</v>
      </c>
      <c r="C25" s="68">
        <v>-6.6</v>
      </c>
      <c r="D25" s="68"/>
      <c r="E25" s="68">
        <v>-2.2000000000000002</v>
      </c>
      <c r="F25" s="68">
        <v>22</v>
      </c>
      <c r="G25" s="68">
        <v>18.899999999999999</v>
      </c>
      <c r="H25" s="68">
        <v>27.3</v>
      </c>
      <c r="I25" s="106"/>
      <c r="J25" s="68">
        <v>66</v>
      </c>
      <c r="K25" s="106"/>
      <c r="L25" s="68">
        <v>1.6</v>
      </c>
      <c r="M25" s="68">
        <v>10.6</v>
      </c>
      <c r="N25" s="68">
        <v>11.680999999999999</v>
      </c>
      <c r="O25" s="68">
        <v>4.8689999999999998</v>
      </c>
      <c r="P25" s="82"/>
      <c r="Q25" s="68">
        <v>28.684000000000001</v>
      </c>
      <c r="S25" s="68">
        <v>-6.0140000000000002</v>
      </c>
      <c r="T25" s="68">
        <v>6.01</v>
      </c>
      <c r="U25" s="68">
        <v>7.5170000000000003</v>
      </c>
      <c r="V25" s="68">
        <v>-22.436</v>
      </c>
      <c r="X25" s="68">
        <f t="shared" ref="X25" si="2">+S25+T25+U25+V25</f>
        <v>-14.923</v>
      </c>
    </row>
    <row r="26" spans="1:26" s="47" customFormat="1" ht="16.5" x14ac:dyDescent="0.25">
      <c r="A26" s="58" t="s">
        <v>15</v>
      </c>
      <c r="B26" s="153">
        <v>188.1</v>
      </c>
      <c r="C26" s="153">
        <v>187.5</v>
      </c>
      <c r="D26" s="160"/>
      <c r="E26" s="153">
        <v>36.700000000000003</v>
      </c>
      <c r="F26" s="153">
        <v>28.1</v>
      </c>
      <c r="G26" s="153">
        <v>37.5</v>
      </c>
      <c r="H26" s="153">
        <v>44.4</v>
      </c>
      <c r="I26" s="122"/>
      <c r="J26" s="153">
        <v>146.69999999999999</v>
      </c>
      <c r="K26" s="122"/>
      <c r="L26" s="153">
        <v>47.5</v>
      </c>
      <c r="M26" s="153">
        <v>44.9</v>
      </c>
      <c r="N26" s="153">
        <v>51.384999999999998</v>
      </c>
      <c r="O26" s="153">
        <v>69.451999999999998</v>
      </c>
      <c r="P26" s="82"/>
      <c r="Q26" s="153">
        <v>213.25299999999999</v>
      </c>
      <c r="S26" s="153">
        <v>39.917999999999999</v>
      </c>
      <c r="T26" s="153">
        <v>67.444000000000003</v>
      </c>
      <c r="U26" s="153">
        <v>63.628</v>
      </c>
      <c r="V26" s="160">
        <v>91.602999999999994</v>
      </c>
      <c r="X26" s="160">
        <v>262.517</v>
      </c>
    </row>
    <row r="27" spans="1:26" s="47" customFormat="1" ht="16.5" x14ac:dyDescent="0.25">
      <c r="A27" s="65" t="s">
        <v>335</v>
      </c>
      <c r="B27" s="68">
        <f>SUM(B25:B26)</f>
        <v>158.69999999999999</v>
      </c>
      <c r="C27" s="68">
        <f>SUM(C25:C26)</f>
        <v>180.9</v>
      </c>
      <c r="D27" s="68"/>
      <c r="E27" s="68">
        <f>SUM(E25:E26)</f>
        <v>34.5</v>
      </c>
      <c r="F27" s="68">
        <f>SUM(F25:F26)</f>
        <v>50.1</v>
      </c>
      <c r="G27" s="68">
        <f>SUM(G25:G26)</f>
        <v>56.4</v>
      </c>
      <c r="H27" s="68">
        <f>SUM(H25:H26)</f>
        <v>71.7</v>
      </c>
      <c r="I27" s="106"/>
      <c r="J27" s="68">
        <f>SUM(J25:J26)</f>
        <v>212.7</v>
      </c>
      <c r="K27" s="106"/>
      <c r="L27" s="68">
        <f>SUM(L25:L26)</f>
        <v>49.1</v>
      </c>
      <c r="M27" s="68">
        <f>SUM(M25:M26)</f>
        <v>55.5</v>
      </c>
      <c r="N27" s="68">
        <f>SUM(N25:N26)</f>
        <v>63.065999999999995</v>
      </c>
      <c r="O27" s="68">
        <f>SUM(O25:O26)</f>
        <v>74.320999999999998</v>
      </c>
      <c r="P27" s="82"/>
      <c r="Q27" s="68">
        <f>SUM(Q25:Q26)</f>
        <v>241.93699999999998</v>
      </c>
      <c r="S27" s="68">
        <f>SUM(S25:S26)</f>
        <v>33.903999999999996</v>
      </c>
      <c r="T27" s="68">
        <f>SUM(T25:T26)</f>
        <v>73.454000000000008</v>
      </c>
      <c r="U27" s="68">
        <f>SUM(U25:U26)</f>
        <v>71.144999999999996</v>
      </c>
      <c r="V27" s="68">
        <f>SUM(V25:V26)</f>
        <v>69.167000000000002</v>
      </c>
      <c r="X27" s="68">
        <f>SUM(X25:X26)</f>
        <v>247.59399999999999</v>
      </c>
    </row>
    <row r="28" spans="1:26" s="47" customFormat="1" ht="16.5" x14ac:dyDescent="0.25">
      <c r="A28" s="65"/>
      <c r="B28" s="68"/>
      <c r="C28" s="68"/>
      <c r="D28" s="68"/>
      <c r="E28" s="68"/>
      <c r="F28" s="68"/>
      <c r="G28" s="68"/>
      <c r="H28" s="68"/>
      <c r="I28" s="106"/>
      <c r="J28" s="68"/>
      <c r="K28" s="106"/>
      <c r="L28" s="68"/>
      <c r="M28" s="68"/>
      <c r="N28" s="52"/>
      <c r="O28" s="52"/>
      <c r="P28" s="82"/>
      <c r="Q28" s="162"/>
      <c r="S28" s="52"/>
      <c r="T28" s="52"/>
      <c r="U28" s="52"/>
      <c r="V28" s="52"/>
      <c r="X28" s="162"/>
    </row>
    <row r="29" spans="1:26" x14ac:dyDescent="0.2">
      <c r="A29" s="9"/>
      <c r="B29" s="6"/>
      <c r="C29" s="6"/>
      <c r="D29" s="7"/>
      <c r="E29" s="6"/>
      <c r="F29" s="6"/>
      <c r="G29" s="6"/>
      <c r="H29" s="6"/>
      <c r="I29" s="10"/>
      <c r="J29" s="6"/>
      <c r="K29" s="10"/>
      <c r="L29" s="6"/>
      <c r="M29" s="6"/>
      <c r="Q29" s="3"/>
      <c r="X29" s="3"/>
    </row>
    <row r="30" spans="1:26" ht="56.25" customHeight="1" x14ac:dyDescent="0.2">
      <c r="A30" s="9"/>
      <c r="B30" s="6"/>
      <c r="C30" s="6"/>
      <c r="D30" s="7"/>
      <c r="E30" s="6"/>
      <c r="F30" s="6"/>
      <c r="G30" s="6"/>
      <c r="H30" s="6"/>
      <c r="I30" s="10"/>
      <c r="J30" s="6"/>
      <c r="K30" s="10"/>
      <c r="L30" s="6"/>
      <c r="M30" s="6"/>
      <c r="Q30" s="3"/>
      <c r="X30" s="3"/>
    </row>
    <row r="31" spans="1:26" x14ac:dyDescent="0.2">
      <c r="A31" s="9"/>
      <c r="B31" s="6"/>
      <c r="C31" s="6"/>
      <c r="D31" s="7"/>
      <c r="E31" s="6"/>
      <c r="F31" s="6"/>
      <c r="G31" s="6"/>
      <c r="H31" s="6"/>
      <c r="I31" s="10"/>
      <c r="J31" s="6"/>
      <c r="K31" s="10"/>
      <c r="L31" s="6"/>
      <c r="M31" s="6"/>
      <c r="Q31" s="3"/>
      <c r="X31" s="3"/>
    </row>
    <row r="32" spans="1:26" x14ac:dyDescent="0.2">
      <c r="A32" s="9"/>
      <c r="B32" s="6"/>
      <c r="C32" s="6"/>
      <c r="D32" s="7"/>
      <c r="E32" s="6"/>
      <c r="F32" s="6"/>
      <c r="G32" s="6"/>
      <c r="H32" s="6"/>
      <c r="I32" s="10"/>
      <c r="J32" s="6"/>
      <c r="K32" s="10"/>
      <c r="L32" s="6"/>
      <c r="M32" s="6"/>
      <c r="Q32" s="3"/>
      <c r="X32" s="3"/>
    </row>
    <row r="33" spans="1:24" x14ac:dyDescent="0.2">
      <c r="A33" s="9"/>
      <c r="B33" s="6"/>
      <c r="C33" s="6"/>
      <c r="D33" s="7"/>
      <c r="E33" s="6"/>
      <c r="F33" s="6"/>
      <c r="G33" s="6"/>
      <c r="H33" s="6"/>
      <c r="I33" s="10"/>
      <c r="J33" s="6"/>
      <c r="K33" s="10"/>
      <c r="L33" s="6"/>
      <c r="M33" s="6"/>
      <c r="Q33" s="3"/>
      <c r="X33" s="3"/>
    </row>
    <row r="34" spans="1:24" x14ac:dyDescent="0.2">
      <c r="A34" s="9"/>
      <c r="B34" s="6"/>
      <c r="C34" s="6"/>
      <c r="D34" s="7"/>
      <c r="E34" s="6"/>
      <c r="F34" s="6"/>
      <c r="G34" s="6"/>
      <c r="H34" s="6"/>
      <c r="I34" s="10"/>
      <c r="J34" s="6"/>
      <c r="K34" s="10"/>
      <c r="L34" s="6"/>
      <c r="M34" s="6"/>
      <c r="Q34" s="3"/>
      <c r="X34" s="3"/>
    </row>
    <row r="35" spans="1:24" x14ac:dyDescent="0.2">
      <c r="A35" s="9"/>
      <c r="B35" s="6"/>
      <c r="C35" s="6"/>
      <c r="D35" s="7"/>
      <c r="E35" s="6"/>
      <c r="F35" s="6"/>
      <c r="G35" s="6"/>
      <c r="H35" s="6"/>
      <c r="I35" s="10"/>
      <c r="J35" s="6"/>
      <c r="K35" s="10"/>
      <c r="L35" s="6"/>
      <c r="M35" s="6"/>
      <c r="Q35" s="3"/>
      <c r="X35" s="3"/>
    </row>
    <row r="36" spans="1:24" x14ac:dyDescent="0.2">
      <c r="A36" s="9"/>
      <c r="B36" s="6"/>
      <c r="C36" s="6"/>
      <c r="D36" s="7"/>
      <c r="E36" s="6"/>
      <c r="F36" s="6"/>
      <c r="G36" s="6"/>
      <c r="H36" s="6"/>
      <c r="I36" s="10"/>
      <c r="J36" s="6"/>
      <c r="K36" s="10"/>
      <c r="L36" s="6"/>
      <c r="M36" s="6"/>
      <c r="Q36" s="3"/>
      <c r="X36" s="3"/>
    </row>
    <row r="37" spans="1:24" x14ac:dyDescent="0.2">
      <c r="A37" s="9"/>
      <c r="B37" s="6"/>
      <c r="C37" s="6"/>
      <c r="D37" s="7"/>
      <c r="E37" s="6"/>
      <c r="F37" s="6"/>
      <c r="G37" s="6"/>
      <c r="H37" s="6"/>
      <c r="I37" s="10"/>
      <c r="J37" s="6"/>
      <c r="K37" s="10"/>
      <c r="L37" s="6"/>
      <c r="M37" s="6"/>
      <c r="Q37" s="3"/>
      <c r="X37" s="3"/>
    </row>
    <row r="38" spans="1:24" x14ac:dyDescent="0.2">
      <c r="A38" s="9"/>
      <c r="B38" s="6"/>
      <c r="C38" s="6"/>
      <c r="D38" s="7"/>
      <c r="E38" s="6"/>
      <c r="F38" s="6"/>
      <c r="G38" s="6"/>
      <c r="H38" s="6"/>
      <c r="I38" s="10"/>
      <c r="J38" s="6"/>
      <c r="K38" s="10"/>
      <c r="L38" s="6"/>
      <c r="M38" s="6"/>
      <c r="Q38" s="3"/>
      <c r="X38" s="3"/>
    </row>
    <row r="39" spans="1:24" x14ac:dyDescent="0.2">
      <c r="A39" s="9"/>
      <c r="B39" s="6"/>
      <c r="C39" s="6"/>
      <c r="D39" s="7"/>
      <c r="E39" s="6"/>
      <c r="F39" s="6"/>
      <c r="G39" s="6"/>
      <c r="H39" s="6"/>
      <c r="I39" s="10"/>
      <c r="J39" s="6"/>
      <c r="K39" s="10"/>
      <c r="L39" s="6"/>
      <c r="M39" s="6"/>
      <c r="Q39" s="3"/>
      <c r="X39" s="3"/>
    </row>
    <row r="40" spans="1:24" x14ac:dyDescent="0.2">
      <c r="A40" s="9"/>
      <c r="B40" s="6"/>
      <c r="C40" s="6"/>
      <c r="D40" s="7"/>
      <c r="E40" s="6"/>
      <c r="F40" s="6"/>
      <c r="G40" s="6"/>
      <c r="H40" s="6"/>
      <c r="I40" s="10"/>
      <c r="J40" s="6"/>
      <c r="K40" s="10"/>
      <c r="L40" s="6"/>
      <c r="M40" s="6"/>
      <c r="Q40" s="3"/>
      <c r="X40" s="3"/>
    </row>
    <row r="41" spans="1:24" x14ac:dyDescent="0.2">
      <c r="A41" s="9"/>
      <c r="B41" s="6"/>
      <c r="C41" s="6"/>
      <c r="D41" s="7"/>
      <c r="E41" s="6"/>
      <c r="F41" s="6"/>
      <c r="G41" s="6"/>
      <c r="H41" s="6"/>
      <c r="I41" s="10"/>
      <c r="J41" s="6"/>
      <c r="K41" s="10"/>
      <c r="L41" s="6"/>
      <c r="M41" s="6"/>
      <c r="Q41" s="3"/>
      <c r="X41" s="3"/>
    </row>
    <row r="42" spans="1:24" x14ac:dyDescent="0.2">
      <c r="A42" s="9"/>
      <c r="B42" s="6"/>
      <c r="C42" s="6"/>
      <c r="D42" s="7"/>
      <c r="E42" s="6"/>
      <c r="F42" s="6"/>
      <c r="G42" s="6"/>
      <c r="H42" s="6"/>
      <c r="I42" s="10"/>
      <c r="J42" s="6"/>
      <c r="K42" s="10"/>
      <c r="L42" s="6"/>
      <c r="M42" s="6"/>
      <c r="Q42" s="3"/>
      <c r="X42" s="3"/>
    </row>
    <row r="43" spans="1:24" x14ac:dyDescent="0.2">
      <c r="A43" s="9"/>
      <c r="B43" s="6"/>
      <c r="C43" s="6"/>
      <c r="D43" s="7"/>
      <c r="E43" s="6"/>
      <c r="F43" s="6"/>
      <c r="G43" s="6"/>
      <c r="H43" s="6"/>
      <c r="I43" s="10"/>
      <c r="J43" s="6"/>
      <c r="K43" s="10"/>
      <c r="L43" s="6"/>
      <c r="M43" s="6"/>
      <c r="Q43" s="3"/>
      <c r="X43" s="3"/>
    </row>
    <row r="44" spans="1:24" x14ac:dyDescent="0.2">
      <c r="A44" s="2"/>
      <c r="B44" s="6"/>
      <c r="C44" s="6"/>
      <c r="D44" s="7"/>
      <c r="E44" s="6"/>
      <c r="F44" s="6"/>
      <c r="G44" s="6"/>
      <c r="H44" s="6"/>
      <c r="I44" s="10"/>
      <c r="J44" s="6"/>
      <c r="K44" s="10"/>
      <c r="L44" s="6"/>
      <c r="M44" s="6"/>
      <c r="Q44" s="3"/>
      <c r="X44" s="3"/>
    </row>
    <row r="45" spans="1:24" x14ac:dyDescent="0.2">
      <c r="A45" s="2"/>
      <c r="B45" s="6"/>
      <c r="C45" s="6"/>
      <c r="D45" s="7"/>
      <c r="E45" s="6"/>
      <c r="F45" s="6"/>
      <c r="G45" s="6"/>
      <c r="H45" s="6"/>
      <c r="I45" s="10"/>
      <c r="J45" s="6"/>
      <c r="K45" s="10"/>
      <c r="L45" s="6"/>
      <c r="M45" s="6"/>
      <c r="Q45" s="3"/>
      <c r="X45" s="3"/>
    </row>
    <row r="46" spans="1:24" x14ac:dyDescent="0.2">
      <c r="A46" s="2"/>
      <c r="B46" s="6"/>
      <c r="C46" s="6"/>
      <c r="D46" s="7"/>
      <c r="E46" s="6"/>
      <c r="F46" s="6"/>
      <c r="G46" s="6"/>
      <c r="H46" s="6"/>
      <c r="I46" s="10"/>
      <c r="J46" s="6"/>
      <c r="K46" s="10"/>
      <c r="L46" s="6"/>
      <c r="M46" s="6"/>
      <c r="Q46" s="3"/>
      <c r="X46" s="3"/>
    </row>
    <row r="47" spans="1:24" x14ac:dyDescent="0.2">
      <c r="A47" s="2"/>
      <c r="B47" s="6"/>
      <c r="C47" s="6"/>
      <c r="D47" s="7"/>
      <c r="E47" s="6"/>
      <c r="F47" s="6"/>
      <c r="G47" s="6"/>
      <c r="H47" s="6"/>
      <c r="I47" s="10"/>
      <c r="J47" s="6"/>
      <c r="K47" s="10"/>
      <c r="L47" s="6"/>
      <c r="M47" s="6"/>
      <c r="Q47" s="3"/>
      <c r="X47" s="3"/>
    </row>
    <row r="48" spans="1:24" x14ac:dyDescent="0.2">
      <c r="A48" s="2"/>
      <c r="B48" s="6"/>
      <c r="C48" s="6"/>
      <c r="D48" s="7"/>
      <c r="E48" s="6"/>
      <c r="F48" s="6"/>
      <c r="G48" s="6"/>
      <c r="H48" s="6"/>
      <c r="I48" s="10"/>
      <c r="J48" s="6"/>
      <c r="K48" s="10"/>
      <c r="L48" s="6"/>
      <c r="M48" s="6"/>
      <c r="Q48" s="3"/>
      <c r="X48" s="3"/>
    </row>
    <row r="49" spans="1:24" x14ac:dyDescent="0.2">
      <c r="A49" s="2"/>
      <c r="B49" s="6"/>
      <c r="C49" s="6"/>
      <c r="D49" s="7"/>
      <c r="E49" s="6"/>
      <c r="F49" s="6"/>
      <c r="G49" s="6"/>
      <c r="H49" s="6"/>
      <c r="I49" s="10"/>
      <c r="J49" s="6"/>
      <c r="K49" s="10"/>
      <c r="L49" s="6"/>
      <c r="M49" s="6"/>
      <c r="Q49" s="3"/>
      <c r="X49" s="3"/>
    </row>
    <row r="50" spans="1:24" x14ac:dyDescent="0.2">
      <c r="A50" s="2"/>
      <c r="B50" s="6"/>
      <c r="C50" s="6"/>
      <c r="D50" s="7"/>
      <c r="E50" s="6"/>
      <c r="F50" s="6"/>
      <c r="G50" s="6"/>
      <c r="H50" s="6"/>
      <c r="I50" s="10"/>
      <c r="J50" s="6"/>
      <c r="K50" s="10"/>
      <c r="L50" s="6"/>
      <c r="M50" s="6"/>
      <c r="Q50" s="3"/>
      <c r="X50" s="3"/>
    </row>
    <row r="51" spans="1:24" x14ac:dyDescent="0.2">
      <c r="A51" s="2"/>
      <c r="B51" s="6"/>
      <c r="C51" s="6"/>
      <c r="D51" s="7"/>
      <c r="E51" s="6"/>
      <c r="F51" s="6"/>
      <c r="G51" s="6"/>
      <c r="H51" s="6"/>
      <c r="I51" s="10"/>
      <c r="J51" s="6"/>
      <c r="K51" s="10"/>
      <c r="L51" s="6"/>
      <c r="M51" s="6"/>
      <c r="Q51" s="3"/>
      <c r="X51" s="3"/>
    </row>
    <row r="52" spans="1:24" x14ac:dyDescent="0.2">
      <c r="A52" s="2"/>
      <c r="B52" s="6"/>
      <c r="C52" s="6"/>
      <c r="D52" s="7"/>
      <c r="E52" s="6"/>
      <c r="F52" s="6"/>
      <c r="G52" s="6"/>
      <c r="H52" s="6"/>
      <c r="I52" s="10"/>
      <c r="J52" s="6"/>
      <c r="K52" s="10"/>
      <c r="L52" s="6"/>
      <c r="M52" s="6"/>
      <c r="Q52" s="3"/>
      <c r="X52" s="3"/>
    </row>
    <row r="53" spans="1:24" x14ac:dyDescent="0.2">
      <c r="A53" s="2"/>
      <c r="B53" s="6"/>
      <c r="C53" s="6"/>
      <c r="D53" s="7"/>
      <c r="E53" s="6"/>
      <c r="F53" s="6"/>
      <c r="G53" s="6"/>
      <c r="H53" s="6"/>
      <c r="I53" s="10"/>
      <c r="J53" s="6"/>
      <c r="K53" s="10"/>
      <c r="L53" s="6"/>
      <c r="M53" s="6"/>
      <c r="Q53" s="3"/>
      <c r="X53" s="3"/>
    </row>
    <row r="54" spans="1:24" x14ac:dyDescent="0.2">
      <c r="A54" s="2"/>
      <c r="B54" s="6"/>
      <c r="C54" s="6"/>
      <c r="D54" s="7"/>
      <c r="E54" s="6"/>
      <c r="F54" s="6"/>
      <c r="G54" s="6"/>
      <c r="H54" s="6"/>
      <c r="I54" s="10"/>
      <c r="J54" s="6"/>
      <c r="K54" s="10"/>
      <c r="L54" s="6"/>
      <c r="M54" s="6"/>
      <c r="Q54" s="3"/>
      <c r="X54" s="3"/>
    </row>
    <row r="55" spans="1:24" x14ac:dyDescent="0.2">
      <c r="A55" s="2"/>
      <c r="B55" s="6"/>
      <c r="C55" s="6"/>
      <c r="D55" s="7"/>
      <c r="E55" s="6"/>
      <c r="F55" s="6"/>
      <c r="G55" s="6"/>
      <c r="H55" s="6"/>
      <c r="I55" s="10"/>
      <c r="J55" s="6"/>
      <c r="K55" s="10"/>
      <c r="L55" s="6"/>
      <c r="M55" s="6"/>
      <c r="Q55" s="3"/>
      <c r="X55" s="3"/>
    </row>
    <row r="56" spans="1:24" x14ac:dyDescent="0.2">
      <c r="A56" s="2"/>
      <c r="B56" s="6"/>
      <c r="C56" s="6"/>
      <c r="D56" s="7"/>
      <c r="E56" s="6"/>
      <c r="F56" s="6"/>
      <c r="G56" s="6"/>
      <c r="H56" s="6"/>
      <c r="I56" s="10"/>
      <c r="J56" s="6"/>
      <c r="K56" s="10"/>
      <c r="L56" s="6"/>
      <c r="M56" s="6"/>
      <c r="Q56" s="3"/>
      <c r="X56" s="3"/>
    </row>
    <row r="57" spans="1:24" x14ac:dyDescent="0.2">
      <c r="A57" s="2"/>
      <c r="B57" s="6"/>
      <c r="C57" s="6"/>
      <c r="D57" s="7"/>
      <c r="E57" s="6"/>
      <c r="F57" s="6"/>
      <c r="G57" s="6"/>
      <c r="H57" s="6"/>
      <c r="I57" s="10"/>
      <c r="J57" s="6"/>
      <c r="K57" s="10"/>
      <c r="L57" s="6"/>
      <c r="M57" s="6"/>
      <c r="Q57" s="3"/>
      <c r="X57" s="3"/>
    </row>
    <row r="58" spans="1:24" x14ac:dyDescent="0.2">
      <c r="A58" s="2"/>
      <c r="B58" s="6"/>
      <c r="C58" s="6"/>
      <c r="D58" s="7"/>
      <c r="E58" s="6"/>
      <c r="F58" s="6"/>
      <c r="G58" s="6"/>
      <c r="H58" s="6"/>
      <c r="I58" s="10"/>
      <c r="J58" s="6"/>
      <c r="K58" s="10"/>
      <c r="L58" s="6"/>
      <c r="M58" s="6"/>
      <c r="Q58" s="3"/>
      <c r="X58" s="3"/>
    </row>
    <row r="59" spans="1:24" x14ac:dyDescent="0.2">
      <c r="A59" s="2"/>
      <c r="B59" s="6"/>
      <c r="C59" s="6"/>
      <c r="D59" s="7"/>
      <c r="E59" s="6"/>
      <c r="F59" s="6"/>
      <c r="G59" s="6"/>
      <c r="H59" s="6"/>
      <c r="I59" s="10"/>
      <c r="J59" s="6"/>
      <c r="K59" s="10"/>
      <c r="L59" s="6"/>
      <c r="M59" s="6"/>
      <c r="Q59" s="3"/>
      <c r="X59" s="3"/>
    </row>
    <row r="60" spans="1:24" x14ac:dyDescent="0.2">
      <c r="A60" s="2"/>
      <c r="B60" s="6"/>
      <c r="C60" s="6"/>
      <c r="D60" s="7"/>
      <c r="E60" s="6"/>
      <c r="F60" s="6"/>
      <c r="G60" s="6"/>
      <c r="H60" s="6"/>
      <c r="I60" s="10"/>
      <c r="J60" s="6"/>
      <c r="K60" s="10"/>
      <c r="L60" s="6"/>
      <c r="M60" s="6"/>
      <c r="Q60" s="3"/>
      <c r="X60" s="3"/>
    </row>
    <row r="61" spans="1:24" x14ac:dyDescent="0.2">
      <c r="A61" s="2"/>
      <c r="B61" s="6"/>
      <c r="C61" s="6"/>
      <c r="D61" s="7"/>
      <c r="E61" s="6"/>
      <c r="F61" s="6"/>
      <c r="G61" s="6"/>
      <c r="H61" s="6"/>
      <c r="I61" s="10"/>
      <c r="J61" s="6"/>
      <c r="K61" s="10"/>
      <c r="L61" s="6"/>
      <c r="M61" s="6"/>
      <c r="Q61" s="3"/>
      <c r="X61" s="3"/>
    </row>
    <row r="62" spans="1:24" x14ac:dyDescent="0.2">
      <c r="A62" s="2"/>
      <c r="B62" s="6"/>
      <c r="C62" s="6"/>
      <c r="D62" s="7"/>
      <c r="E62" s="6"/>
      <c r="F62" s="6"/>
      <c r="G62" s="6"/>
      <c r="H62" s="6"/>
      <c r="I62" s="10"/>
      <c r="J62" s="6"/>
      <c r="K62" s="10"/>
      <c r="L62" s="6"/>
      <c r="M62" s="6"/>
      <c r="Q62" s="3"/>
      <c r="X62" s="3"/>
    </row>
    <row r="63" spans="1:24" x14ac:dyDescent="0.2">
      <c r="A63" s="3"/>
      <c r="B63" s="3"/>
      <c r="C63" s="3"/>
      <c r="E63" s="3"/>
      <c r="F63" s="3"/>
      <c r="G63" s="3"/>
      <c r="H63" s="3"/>
      <c r="J63" s="3"/>
      <c r="L63" s="3"/>
      <c r="M63" s="3"/>
      <c r="Q63" s="3"/>
      <c r="X63" s="3"/>
    </row>
    <row r="64" spans="1:24" x14ac:dyDescent="0.2">
      <c r="A64" s="3"/>
      <c r="B64" s="3"/>
      <c r="C64" s="3"/>
      <c r="E64" s="3"/>
      <c r="F64" s="3"/>
      <c r="G64" s="3"/>
      <c r="H64" s="3"/>
      <c r="J64" s="3"/>
      <c r="L64" s="3"/>
      <c r="M64" s="3"/>
      <c r="Q64" s="3"/>
      <c r="X64" s="3"/>
    </row>
    <row r="65" spans="1:24" x14ac:dyDescent="0.2">
      <c r="A65" s="3"/>
      <c r="B65" s="3"/>
      <c r="C65" s="3"/>
      <c r="E65" s="3"/>
      <c r="F65" s="3"/>
      <c r="G65" s="3"/>
      <c r="H65" s="3"/>
      <c r="J65" s="3"/>
      <c r="L65" s="3"/>
      <c r="M65" s="3"/>
      <c r="Q65" s="3"/>
      <c r="X65" s="3"/>
    </row>
    <row r="66" spans="1:24" x14ac:dyDescent="0.2">
      <c r="A66" s="3"/>
      <c r="B66" s="3"/>
      <c r="C66" s="3"/>
      <c r="E66" s="3"/>
      <c r="F66" s="3"/>
      <c r="G66" s="3"/>
      <c r="H66" s="3"/>
      <c r="J66" s="3"/>
      <c r="L66" s="3"/>
      <c r="M66" s="3"/>
      <c r="Q66" s="3"/>
      <c r="X66" s="3"/>
    </row>
    <row r="67" spans="1:24" hidden="1" x14ac:dyDescent="0.2">
      <c r="A67" s="3"/>
      <c r="B67" s="3"/>
      <c r="C67" s="3"/>
      <c r="E67" s="3"/>
      <c r="F67" s="3"/>
      <c r="G67" s="3"/>
      <c r="H67" s="3"/>
      <c r="J67" s="3"/>
      <c r="L67" s="3"/>
      <c r="M67" s="3"/>
      <c r="Q67" s="3"/>
      <c r="X67" s="3"/>
    </row>
    <row r="68" spans="1:24" s="251" customFormat="1" ht="15" hidden="1" customHeight="1" x14ac:dyDescent="0.25">
      <c r="A68" s="252" t="s">
        <v>309</v>
      </c>
      <c r="B68" s="254"/>
      <c r="C68" s="254"/>
      <c r="D68" s="254"/>
      <c r="E68" s="254"/>
      <c r="F68" s="254"/>
      <c r="G68" s="254"/>
      <c r="H68" s="254"/>
      <c r="I68" s="255"/>
      <c r="J68" s="254">
        <v>7542</v>
      </c>
      <c r="K68" s="255"/>
      <c r="L68" s="254">
        <v>1409</v>
      </c>
      <c r="M68" s="254">
        <v>-4507</v>
      </c>
      <c r="N68" s="254">
        <v>9218</v>
      </c>
      <c r="O68" s="254"/>
      <c r="P68" s="255"/>
      <c r="Q68" s="254">
        <v>6120</v>
      </c>
      <c r="S68" s="254"/>
      <c r="T68" s="254"/>
      <c r="U68" s="254"/>
      <c r="V68" s="254"/>
      <c r="X68" s="254">
        <v>6120</v>
      </c>
    </row>
    <row r="69" spans="1:24" s="251" customFormat="1" ht="15" hidden="1" x14ac:dyDescent="0.25">
      <c r="A69" s="253" t="s">
        <v>310</v>
      </c>
      <c r="B69" s="254"/>
      <c r="C69" s="254"/>
      <c r="D69" s="254"/>
      <c r="E69" s="254"/>
      <c r="F69" s="254"/>
      <c r="G69" s="254"/>
      <c r="H69" s="254"/>
      <c r="I69" s="255"/>
      <c r="J69" s="254">
        <v>77762</v>
      </c>
      <c r="K69" s="255"/>
      <c r="L69" s="254">
        <v>5170</v>
      </c>
      <c r="M69" s="254">
        <v>7764</v>
      </c>
      <c r="N69" s="254">
        <v>22201</v>
      </c>
      <c r="O69" s="254"/>
      <c r="P69" s="255"/>
      <c r="Q69" s="254">
        <v>35135</v>
      </c>
      <c r="S69" s="254"/>
      <c r="T69" s="254"/>
      <c r="U69" s="254"/>
      <c r="V69" s="254"/>
      <c r="X69" s="254">
        <v>35135</v>
      </c>
    </row>
    <row r="70" spans="1:24" s="260" customFormat="1" ht="15" hidden="1" x14ac:dyDescent="0.25">
      <c r="A70" s="256" t="s">
        <v>311</v>
      </c>
      <c r="B70" s="257"/>
      <c r="C70" s="257"/>
      <c r="D70" s="257"/>
      <c r="E70" s="257"/>
      <c r="F70" s="257"/>
      <c r="G70" s="257"/>
      <c r="H70" s="257"/>
      <c r="I70" s="258"/>
      <c r="J70" s="259">
        <f t="shared" ref="J70:M70" si="3">+J68/J69</f>
        <v>9.6988246187083668E-2</v>
      </c>
      <c r="K70" s="259" t="e">
        <f t="shared" si="3"/>
        <v>#DIV/0!</v>
      </c>
      <c r="L70" s="259">
        <f t="shared" si="3"/>
        <v>0.27253384912959383</v>
      </c>
      <c r="M70" s="259">
        <f t="shared" si="3"/>
        <v>-0.58049974240082436</v>
      </c>
      <c r="N70" s="259">
        <f>+N68/N69</f>
        <v>0.41520652222872845</v>
      </c>
      <c r="O70" s="259"/>
      <c r="P70" s="258"/>
      <c r="Q70" s="259">
        <f>+Q68/Q69</f>
        <v>0.17418528532802049</v>
      </c>
      <c r="S70" s="259"/>
      <c r="T70" s="259"/>
      <c r="U70" s="259"/>
      <c r="V70" s="259"/>
      <c r="X70" s="259">
        <f>+X68/X69</f>
        <v>0.17418528532802049</v>
      </c>
    </row>
    <row r="71" spans="1:24" s="251" customFormat="1" ht="15" hidden="1" x14ac:dyDescent="0.25">
      <c r="A71" s="253" t="s">
        <v>3</v>
      </c>
      <c r="B71" s="254"/>
      <c r="C71" s="254"/>
      <c r="D71" s="254"/>
      <c r="E71" s="254"/>
      <c r="F71" s="254"/>
      <c r="G71" s="254"/>
      <c r="H71" s="254"/>
      <c r="I71" s="255"/>
      <c r="J71" s="254">
        <v>26887</v>
      </c>
      <c r="K71" s="255"/>
      <c r="L71" s="254">
        <v>5410</v>
      </c>
      <c r="M71" s="254">
        <v>4955</v>
      </c>
      <c r="N71" s="254">
        <v>5751</v>
      </c>
      <c r="O71" s="254"/>
      <c r="P71" s="255"/>
      <c r="Q71" s="254">
        <v>16116</v>
      </c>
      <c r="S71" s="254"/>
      <c r="T71" s="254"/>
      <c r="U71" s="254"/>
      <c r="V71" s="254"/>
      <c r="X71" s="254">
        <v>16116</v>
      </c>
    </row>
    <row r="72" spans="1:24" s="251" customFormat="1" ht="15" hidden="1" x14ac:dyDescent="0.25">
      <c r="A72" s="253" t="s">
        <v>312</v>
      </c>
      <c r="B72" s="254"/>
      <c r="C72" s="254"/>
      <c r="D72" s="254"/>
      <c r="E72" s="254"/>
      <c r="F72" s="254"/>
      <c r="G72" s="254"/>
      <c r="H72" s="254"/>
      <c r="I72" s="255"/>
      <c r="J72" s="254">
        <v>243781</v>
      </c>
      <c r="K72" s="255"/>
      <c r="L72" s="254">
        <v>56663</v>
      </c>
      <c r="M72" s="254">
        <v>62151</v>
      </c>
      <c r="N72" s="254">
        <v>70120</v>
      </c>
      <c r="O72" s="254"/>
      <c r="P72" s="255"/>
      <c r="Q72" s="254">
        <v>188933</v>
      </c>
      <c r="S72" s="254"/>
      <c r="T72" s="254"/>
      <c r="U72" s="254"/>
      <c r="V72" s="254"/>
      <c r="X72" s="254">
        <v>188933</v>
      </c>
    </row>
    <row r="73" spans="1:24" s="260" customFormat="1" ht="15" hidden="1" x14ac:dyDescent="0.25">
      <c r="A73" s="261" t="s">
        <v>313</v>
      </c>
      <c r="B73" s="257"/>
      <c r="C73" s="257"/>
      <c r="D73" s="257"/>
      <c r="E73" s="257"/>
      <c r="F73" s="257"/>
      <c r="G73" s="257"/>
      <c r="H73" s="257"/>
      <c r="I73" s="258"/>
      <c r="J73" s="259">
        <f>++J71/J72</f>
        <v>0.11029161419470755</v>
      </c>
      <c r="K73" s="259" t="e">
        <f t="shared" ref="K73:M73" si="4">++K71/K72</f>
        <v>#DIV/0!</v>
      </c>
      <c r="L73" s="259">
        <f t="shared" si="4"/>
        <v>9.5476766143691646E-2</v>
      </c>
      <c r="M73" s="259">
        <f t="shared" si="4"/>
        <v>7.9725185435471677E-2</v>
      </c>
      <c r="N73" s="259">
        <f>++N71/N72</f>
        <v>8.2016543069024533E-2</v>
      </c>
      <c r="O73" s="259"/>
      <c r="P73" s="258"/>
      <c r="Q73" s="259">
        <f>++Q71/Q72</f>
        <v>8.5300079922512206E-2</v>
      </c>
      <c r="S73" s="259"/>
      <c r="T73" s="259"/>
      <c r="U73" s="259"/>
      <c r="V73" s="259"/>
      <c r="X73" s="259">
        <f>++X71/X72</f>
        <v>8.5300079922512206E-2</v>
      </c>
    </row>
    <row r="74" spans="1:24" hidden="1" x14ac:dyDescent="0.2">
      <c r="A74" s="3"/>
      <c r="B74" s="3"/>
      <c r="C74" s="3"/>
      <c r="E74" s="3"/>
      <c r="F74" s="3"/>
      <c r="G74" s="3"/>
      <c r="H74" s="3"/>
      <c r="J74" s="3"/>
      <c r="L74" s="3"/>
      <c r="M74" s="3"/>
      <c r="Q74" s="3"/>
      <c r="X74" s="3"/>
    </row>
    <row r="75" spans="1:24" x14ac:dyDescent="0.2">
      <c r="A75" s="3"/>
      <c r="B75" s="3"/>
      <c r="C75" s="3"/>
      <c r="E75" s="3"/>
      <c r="F75" s="3"/>
      <c r="G75" s="3"/>
      <c r="H75" s="3"/>
      <c r="J75" s="3"/>
      <c r="L75" s="3"/>
      <c r="M75" s="3"/>
      <c r="Q75" s="3"/>
      <c r="X75" s="3"/>
    </row>
    <row r="76" spans="1:24" x14ac:dyDescent="0.2">
      <c r="A76" s="3"/>
      <c r="B76" s="3"/>
      <c r="C76" s="3"/>
      <c r="E76" s="3"/>
      <c r="F76" s="3"/>
      <c r="G76" s="3"/>
      <c r="H76" s="3"/>
      <c r="J76" s="3"/>
      <c r="L76" s="3"/>
      <c r="M76" s="3"/>
      <c r="Q76" s="3"/>
      <c r="X76" s="3"/>
    </row>
    <row r="77" spans="1:24" x14ac:dyDescent="0.2">
      <c r="A77" s="3"/>
      <c r="B77" s="3"/>
      <c r="C77" s="3"/>
      <c r="E77" s="3"/>
      <c r="F77" s="3"/>
      <c r="G77" s="3"/>
      <c r="H77" s="3"/>
      <c r="J77" s="3"/>
      <c r="L77" s="3"/>
      <c r="M77" s="3"/>
      <c r="Q77" s="3"/>
      <c r="X77" s="3"/>
    </row>
    <row r="78" spans="1:24" x14ac:dyDescent="0.2">
      <c r="A78" s="3"/>
      <c r="B78" s="3"/>
      <c r="C78" s="3"/>
      <c r="E78" s="3"/>
      <c r="F78" s="3"/>
      <c r="G78" s="3"/>
      <c r="H78" s="3"/>
      <c r="J78" s="3"/>
      <c r="L78" s="3"/>
      <c r="M78" s="3"/>
      <c r="Q78" s="3"/>
      <c r="X78" s="3"/>
    </row>
    <row r="79" spans="1:24" x14ac:dyDescent="0.2">
      <c r="A79" s="3"/>
      <c r="B79" s="3"/>
      <c r="C79" s="3"/>
      <c r="E79" s="3"/>
      <c r="F79" s="3"/>
      <c r="G79" s="3"/>
      <c r="H79" s="3"/>
      <c r="J79" s="3"/>
      <c r="L79" s="3"/>
      <c r="M79" s="3"/>
      <c r="Q79" s="3"/>
      <c r="X79" s="3"/>
    </row>
    <row r="80" spans="1:24" x14ac:dyDescent="0.2">
      <c r="A80" s="3"/>
      <c r="B80" s="3"/>
      <c r="C80" s="3"/>
      <c r="E80" s="3"/>
      <c r="F80" s="3"/>
      <c r="G80" s="3"/>
      <c r="H80" s="3"/>
      <c r="J80" s="3"/>
      <c r="L80" s="3"/>
      <c r="M80" s="3"/>
      <c r="Q80" s="3"/>
      <c r="X80" s="3"/>
    </row>
    <row r="81" spans="1:24" x14ac:dyDescent="0.2">
      <c r="A81" s="3"/>
      <c r="B81" s="3"/>
      <c r="C81" s="3"/>
      <c r="E81" s="3"/>
      <c r="F81" s="3"/>
      <c r="G81" s="3"/>
      <c r="H81" s="3"/>
      <c r="J81" s="3"/>
      <c r="L81" s="3"/>
      <c r="M81" s="3"/>
      <c r="Q81" s="3"/>
      <c r="X81" s="3"/>
    </row>
    <row r="82" spans="1:24" x14ac:dyDescent="0.2">
      <c r="A82" s="3"/>
      <c r="B82" s="3"/>
      <c r="C82" s="3"/>
      <c r="E82" s="3"/>
      <c r="F82" s="3"/>
      <c r="G82" s="3"/>
      <c r="H82" s="3"/>
      <c r="J82" s="3"/>
      <c r="L82" s="3"/>
      <c r="M82" s="3"/>
      <c r="Q82" s="3"/>
      <c r="X82" s="3"/>
    </row>
    <row r="83" spans="1:24" x14ac:dyDescent="0.2">
      <c r="A83" s="3"/>
      <c r="B83" s="3"/>
      <c r="C83" s="3"/>
      <c r="E83" s="3"/>
      <c r="F83" s="3"/>
      <c r="G83" s="3"/>
      <c r="H83" s="3"/>
      <c r="J83" s="3"/>
      <c r="L83" s="3"/>
      <c r="M83" s="3"/>
      <c r="Q83" s="3"/>
      <c r="X83" s="3"/>
    </row>
    <row r="84" spans="1:24" x14ac:dyDescent="0.2">
      <c r="A84" s="3"/>
      <c r="B84" s="3"/>
      <c r="C84" s="3"/>
      <c r="E84" s="3"/>
      <c r="F84" s="3"/>
      <c r="G84" s="3"/>
      <c r="H84" s="3"/>
      <c r="J84" s="3"/>
      <c r="L84" s="3"/>
      <c r="M84" s="3"/>
      <c r="Q84" s="3"/>
      <c r="X84" s="3"/>
    </row>
    <row r="85" spans="1:24" x14ac:dyDescent="0.2">
      <c r="A85" s="3"/>
      <c r="B85" s="3"/>
      <c r="C85" s="3"/>
      <c r="E85" s="3"/>
      <c r="F85" s="3"/>
      <c r="G85" s="3"/>
      <c r="H85" s="3"/>
      <c r="J85" s="3"/>
      <c r="L85" s="3"/>
      <c r="M85" s="3"/>
      <c r="Q85" s="3"/>
      <c r="X85" s="3"/>
    </row>
    <row r="86" spans="1:24" x14ac:dyDescent="0.2">
      <c r="A86" s="3"/>
      <c r="B86" s="3"/>
      <c r="C86" s="3"/>
      <c r="E86" s="3"/>
      <c r="F86" s="3"/>
      <c r="G86" s="3"/>
      <c r="H86" s="3"/>
      <c r="J86" s="3"/>
      <c r="L86" s="3"/>
      <c r="M86" s="3"/>
      <c r="Q86" s="3"/>
      <c r="X86" s="3"/>
    </row>
    <row r="87" spans="1:24" x14ac:dyDescent="0.2">
      <c r="A87" s="3"/>
      <c r="B87" s="3"/>
      <c r="C87" s="3"/>
      <c r="E87" s="3"/>
      <c r="F87" s="3"/>
      <c r="G87" s="3"/>
      <c r="H87" s="3"/>
      <c r="J87" s="3"/>
      <c r="L87" s="3"/>
      <c r="M87" s="3"/>
      <c r="Q87" s="3"/>
      <c r="X87" s="3"/>
    </row>
    <row r="88" spans="1:24" x14ac:dyDescent="0.2">
      <c r="A88" s="3"/>
      <c r="B88" s="3"/>
      <c r="C88" s="3"/>
      <c r="E88" s="3"/>
      <c r="F88" s="3"/>
      <c r="G88" s="3"/>
      <c r="H88" s="3"/>
      <c r="J88" s="3"/>
      <c r="L88" s="3"/>
      <c r="M88" s="3"/>
      <c r="Q88" s="3"/>
      <c r="X88" s="3"/>
    </row>
    <row r="89" spans="1:24" x14ac:dyDescent="0.2">
      <c r="A89" s="3"/>
      <c r="B89" s="3"/>
      <c r="C89" s="3"/>
      <c r="E89" s="3"/>
      <c r="F89" s="3"/>
      <c r="G89" s="3"/>
      <c r="H89" s="3"/>
      <c r="J89" s="3"/>
      <c r="L89" s="3"/>
      <c r="M89" s="3"/>
      <c r="Q89" s="3"/>
      <c r="X89" s="3"/>
    </row>
    <row r="90" spans="1:24" x14ac:dyDescent="0.2">
      <c r="A90" s="3"/>
      <c r="B90" s="3"/>
      <c r="C90" s="3"/>
      <c r="E90" s="3"/>
      <c r="F90" s="3"/>
      <c r="G90" s="3"/>
      <c r="H90" s="3"/>
      <c r="J90" s="3"/>
      <c r="L90" s="3"/>
      <c r="M90" s="3"/>
      <c r="Q90" s="3"/>
      <c r="X90" s="3"/>
    </row>
    <row r="91" spans="1:24" x14ac:dyDescent="0.2">
      <c r="A91" s="3"/>
      <c r="B91" s="3"/>
      <c r="C91" s="3"/>
      <c r="E91" s="3"/>
      <c r="F91" s="3"/>
      <c r="G91" s="3"/>
      <c r="H91" s="3"/>
      <c r="J91" s="3"/>
      <c r="L91" s="3"/>
      <c r="M91" s="3"/>
      <c r="Q91" s="3"/>
      <c r="X91" s="3"/>
    </row>
    <row r="92" spans="1:24" x14ac:dyDescent="0.2">
      <c r="A92" s="3"/>
      <c r="B92" s="3"/>
      <c r="C92" s="3"/>
      <c r="E92" s="3"/>
      <c r="F92" s="3"/>
      <c r="G92" s="3"/>
      <c r="H92" s="3"/>
      <c r="J92" s="3"/>
      <c r="L92" s="3"/>
      <c r="M92" s="3"/>
      <c r="Q92" s="3"/>
      <c r="X92" s="3"/>
    </row>
    <row r="93" spans="1:24" x14ac:dyDescent="0.2">
      <c r="A93" s="3"/>
      <c r="B93" s="3"/>
      <c r="C93" s="3"/>
      <c r="E93" s="3"/>
      <c r="F93" s="3"/>
      <c r="G93" s="3"/>
      <c r="H93" s="3"/>
      <c r="J93" s="3"/>
      <c r="L93" s="3"/>
      <c r="M93" s="3"/>
      <c r="Q93" s="3"/>
      <c r="X93" s="3"/>
    </row>
    <row r="94" spans="1:24" x14ac:dyDescent="0.2">
      <c r="A94" s="3"/>
      <c r="B94" s="3"/>
      <c r="C94" s="3"/>
      <c r="E94" s="3"/>
      <c r="F94" s="3"/>
      <c r="G94" s="3"/>
      <c r="H94" s="3"/>
      <c r="J94" s="3"/>
      <c r="L94" s="3"/>
      <c r="M94" s="3"/>
      <c r="Q94" s="3"/>
      <c r="X94" s="3"/>
    </row>
    <row r="95" spans="1:24" x14ac:dyDescent="0.2">
      <c r="A95" s="3"/>
      <c r="B95" s="3"/>
      <c r="C95" s="3"/>
      <c r="E95" s="3"/>
      <c r="F95" s="3"/>
      <c r="G95" s="3"/>
      <c r="H95" s="3"/>
      <c r="J95" s="3"/>
      <c r="L95" s="3"/>
      <c r="M95" s="3"/>
      <c r="Q95" s="3"/>
      <c r="X95" s="3"/>
    </row>
    <row r="96" spans="1:24" x14ac:dyDescent="0.2">
      <c r="A96" s="3"/>
      <c r="B96" s="3"/>
      <c r="C96" s="3"/>
      <c r="E96" s="3"/>
      <c r="F96" s="3"/>
      <c r="G96" s="3"/>
      <c r="H96" s="3"/>
      <c r="J96" s="3"/>
      <c r="L96" s="3"/>
      <c r="M96" s="3"/>
      <c r="Q96" s="3"/>
      <c r="X96" s="3"/>
    </row>
    <row r="97" spans="1:24" x14ac:dyDescent="0.2">
      <c r="A97" s="3"/>
      <c r="B97" s="3"/>
      <c r="C97" s="3"/>
      <c r="E97" s="3"/>
      <c r="F97" s="3"/>
      <c r="G97" s="3"/>
      <c r="H97" s="3"/>
      <c r="J97" s="3"/>
      <c r="L97" s="3"/>
      <c r="M97" s="3"/>
      <c r="Q97" s="3"/>
      <c r="X97" s="3"/>
    </row>
    <row r="98" spans="1:24" x14ac:dyDescent="0.2">
      <c r="A98" s="3"/>
      <c r="B98" s="3"/>
      <c r="C98" s="3"/>
      <c r="E98" s="3"/>
      <c r="F98" s="3"/>
      <c r="G98" s="3"/>
      <c r="H98" s="3"/>
      <c r="J98" s="3"/>
      <c r="L98" s="3"/>
      <c r="M98" s="3"/>
      <c r="Q98" s="3"/>
      <c r="X98" s="3"/>
    </row>
    <row r="99" spans="1:24" x14ac:dyDescent="0.2">
      <c r="A99" s="3"/>
      <c r="B99" s="3"/>
      <c r="C99" s="3"/>
      <c r="E99" s="3"/>
      <c r="F99" s="3"/>
      <c r="G99" s="3"/>
      <c r="H99" s="3"/>
      <c r="J99" s="3"/>
      <c r="L99" s="3"/>
      <c r="M99" s="3"/>
      <c r="Q99" s="3"/>
      <c r="X99" s="3"/>
    </row>
    <row r="100" spans="1:24" x14ac:dyDescent="0.2">
      <c r="A100" s="3"/>
      <c r="B100" s="3"/>
      <c r="C100" s="3"/>
      <c r="E100" s="3"/>
      <c r="F100" s="3"/>
      <c r="G100" s="3"/>
      <c r="H100" s="3"/>
      <c r="J100" s="3"/>
      <c r="L100" s="3"/>
      <c r="M100" s="3"/>
      <c r="Q100" s="3"/>
      <c r="X100" s="3"/>
    </row>
    <row r="101" spans="1:24" x14ac:dyDescent="0.2">
      <c r="A101" s="3"/>
      <c r="B101" s="3"/>
      <c r="C101" s="3"/>
      <c r="E101" s="3"/>
      <c r="F101" s="3"/>
      <c r="G101" s="3"/>
      <c r="H101" s="3"/>
      <c r="J101" s="3"/>
      <c r="L101" s="3"/>
      <c r="M101" s="3"/>
      <c r="Q101" s="3"/>
      <c r="X101" s="3"/>
    </row>
    <row r="102" spans="1:24" x14ac:dyDescent="0.2">
      <c r="A102" s="3"/>
      <c r="B102" s="3"/>
      <c r="C102" s="3"/>
      <c r="E102" s="3"/>
      <c r="F102" s="3"/>
      <c r="G102" s="3"/>
      <c r="H102" s="3"/>
      <c r="J102" s="3"/>
      <c r="L102" s="3"/>
      <c r="M102" s="3"/>
      <c r="Q102" s="3"/>
      <c r="X102" s="3"/>
    </row>
    <row r="103" spans="1:24" x14ac:dyDescent="0.2">
      <c r="A103" s="3"/>
      <c r="B103" s="3"/>
      <c r="C103" s="3"/>
      <c r="E103" s="3"/>
      <c r="F103" s="3"/>
      <c r="G103" s="3"/>
      <c r="H103" s="3"/>
      <c r="J103" s="3"/>
      <c r="L103" s="3"/>
      <c r="M103" s="3"/>
      <c r="Q103" s="3"/>
      <c r="X103" s="3"/>
    </row>
    <row r="104" spans="1:24" x14ac:dyDescent="0.2">
      <c r="A104" s="3"/>
      <c r="B104" s="3"/>
      <c r="C104" s="3"/>
      <c r="E104" s="3"/>
      <c r="F104" s="3"/>
      <c r="G104" s="3"/>
      <c r="H104" s="3"/>
      <c r="J104" s="3"/>
      <c r="L104" s="3"/>
      <c r="M104" s="3"/>
      <c r="Q104" s="3"/>
      <c r="X104" s="3"/>
    </row>
    <row r="105" spans="1:24" x14ac:dyDescent="0.2">
      <c r="A105" s="3"/>
      <c r="B105" s="3"/>
      <c r="C105" s="3"/>
      <c r="E105" s="3"/>
      <c r="F105" s="3"/>
      <c r="G105" s="3"/>
      <c r="H105" s="3"/>
      <c r="J105" s="3"/>
      <c r="L105" s="3"/>
      <c r="M105" s="3"/>
      <c r="Q105" s="3"/>
      <c r="X105" s="3"/>
    </row>
    <row r="106" spans="1:24" x14ac:dyDescent="0.2">
      <c r="A106" s="3"/>
      <c r="B106" s="3"/>
      <c r="C106" s="3"/>
      <c r="E106" s="3"/>
      <c r="F106" s="3"/>
      <c r="G106" s="3"/>
      <c r="H106" s="3"/>
      <c r="J106" s="3"/>
      <c r="L106" s="3"/>
      <c r="M106" s="3"/>
      <c r="Q106" s="3"/>
      <c r="X106" s="3"/>
    </row>
    <row r="107" spans="1:24" x14ac:dyDescent="0.2">
      <c r="A107" s="3"/>
      <c r="B107" s="3"/>
      <c r="C107" s="3"/>
      <c r="E107" s="3"/>
      <c r="F107" s="3"/>
      <c r="G107" s="3"/>
      <c r="H107" s="3"/>
      <c r="J107" s="3"/>
      <c r="L107" s="3"/>
      <c r="M107" s="3"/>
      <c r="Q107" s="3"/>
      <c r="X107" s="3"/>
    </row>
    <row r="108" spans="1:24" x14ac:dyDescent="0.2">
      <c r="A108" s="3"/>
      <c r="B108" s="3"/>
      <c r="C108" s="3"/>
      <c r="E108" s="3"/>
      <c r="F108" s="3"/>
      <c r="G108" s="3"/>
      <c r="H108" s="3"/>
      <c r="J108" s="3"/>
      <c r="L108" s="3"/>
      <c r="M108" s="3"/>
      <c r="Q108" s="3"/>
      <c r="X108" s="3"/>
    </row>
    <row r="109" spans="1:24" x14ac:dyDescent="0.2">
      <c r="A109" s="3"/>
      <c r="B109" s="3"/>
      <c r="C109" s="3"/>
      <c r="E109" s="3"/>
      <c r="F109" s="3"/>
      <c r="G109" s="3"/>
      <c r="H109" s="3"/>
      <c r="J109" s="3"/>
      <c r="L109" s="3"/>
      <c r="M109" s="3"/>
      <c r="Q109" s="3"/>
      <c r="X109" s="3"/>
    </row>
    <row r="110" spans="1:24" x14ac:dyDescent="0.2">
      <c r="A110" s="3"/>
      <c r="B110" s="3"/>
      <c r="C110" s="3"/>
      <c r="E110" s="3"/>
      <c r="F110" s="3"/>
      <c r="G110" s="3"/>
      <c r="H110" s="3"/>
      <c r="J110" s="3"/>
      <c r="L110" s="3"/>
      <c r="M110" s="3"/>
      <c r="Q110" s="3"/>
      <c r="X110" s="3"/>
    </row>
    <row r="111" spans="1:24" x14ac:dyDescent="0.2">
      <c r="A111" s="3"/>
      <c r="B111" s="3"/>
      <c r="C111" s="3"/>
      <c r="E111" s="3"/>
      <c r="F111" s="3"/>
      <c r="G111" s="3"/>
      <c r="H111" s="3"/>
      <c r="J111" s="3"/>
      <c r="L111" s="3"/>
      <c r="M111" s="3"/>
      <c r="Q111" s="3"/>
      <c r="X111" s="3"/>
    </row>
    <row r="112" spans="1:24" x14ac:dyDescent="0.2">
      <c r="A112" s="3"/>
      <c r="B112" s="3"/>
      <c r="C112" s="3"/>
      <c r="E112" s="3"/>
      <c r="F112" s="3"/>
      <c r="G112" s="3"/>
      <c r="H112" s="3"/>
      <c r="J112" s="3"/>
      <c r="L112" s="3"/>
      <c r="M112" s="3"/>
      <c r="Q112" s="3"/>
      <c r="X112" s="3"/>
    </row>
    <row r="113" spans="1:24" x14ac:dyDescent="0.2">
      <c r="A113" s="3"/>
      <c r="B113" s="3"/>
      <c r="C113" s="3"/>
      <c r="E113" s="3"/>
      <c r="F113" s="3"/>
      <c r="G113" s="3"/>
      <c r="H113" s="3"/>
      <c r="J113" s="3"/>
      <c r="L113" s="3"/>
      <c r="M113" s="3"/>
      <c r="Q113" s="3"/>
      <c r="X113" s="3"/>
    </row>
    <row r="114" spans="1:24" x14ac:dyDescent="0.2">
      <c r="A114" s="3"/>
      <c r="B114" s="3"/>
      <c r="C114" s="3"/>
      <c r="E114" s="3"/>
      <c r="F114" s="3"/>
      <c r="G114" s="3"/>
      <c r="H114" s="3"/>
      <c r="J114" s="3"/>
      <c r="L114" s="3"/>
      <c r="M114" s="3"/>
      <c r="Q114" s="3"/>
      <c r="X114" s="3"/>
    </row>
    <row r="115" spans="1:24" x14ac:dyDescent="0.2">
      <c r="A115" s="3"/>
      <c r="B115" s="3"/>
      <c r="C115" s="3"/>
      <c r="E115" s="3"/>
      <c r="F115" s="3"/>
      <c r="G115" s="3"/>
      <c r="H115" s="3"/>
      <c r="J115" s="3"/>
      <c r="L115" s="3"/>
      <c r="M115" s="3"/>
      <c r="Q115" s="3"/>
      <c r="X115" s="3"/>
    </row>
    <row r="116" spans="1:24" x14ac:dyDescent="0.2">
      <c r="A116" s="3"/>
      <c r="B116" s="3"/>
      <c r="C116" s="3"/>
      <c r="E116" s="3"/>
      <c r="F116" s="3"/>
      <c r="G116" s="3"/>
      <c r="H116" s="3"/>
      <c r="J116" s="3"/>
      <c r="L116" s="3"/>
      <c r="M116" s="3"/>
      <c r="Q116" s="3"/>
      <c r="X116" s="3"/>
    </row>
    <row r="117" spans="1:24" x14ac:dyDescent="0.2">
      <c r="A117" s="3"/>
      <c r="B117" s="3"/>
      <c r="C117" s="3"/>
      <c r="E117" s="3"/>
      <c r="F117" s="3"/>
      <c r="G117" s="3"/>
      <c r="H117" s="3"/>
      <c r="J117" s="3"/>
      <c r="L117" s="3"/>
      <c r="M117" s="3"/>
      <c r="Q117" s="3"/>
      <c r="X117" s="3"/>
    </row>
    <row r="118" spans="1:24" x14ac:dyDescent="0.2">
      <c r="A118" s="3"/>
      <c r="B118" s="3"/>
      <c r="C118" s="3"/>
      <c r="E118" s="3"/>
      <c r="F118" s="3"/>
      <c r="G118" s="3"/>
      <c r="H118" s="3"/>
      <c r="J118" s="3"/>
      <c r="L118" s="3"/>
      <c r="M118" s="3"/>
      <c r="Q118" s="3"/>
      <c r="X118" s="3"/>
    </row>
    <row r="119" spans="1:24" x14ac:dyDescent="0.2">
      <c r="A119" s="3"/>
      <c r="B119" s="3"/>
      <c r="C119" s="3"/>
      <c r="E119" s="3"/>
      <c r="F119" s="3"/>
      <c r="G119" s="3"/>
      <c r="H119" s="3"/>
      <c r="J119" s="3"/>
      <c r="L119" s="3"/>
      <c r="M119" s="3"/>
      <c r="Q119" s="3"/>
      <c r="X119" s="3"/>
    </row>
    <row r="120" spans="1:24" x14ac:dyDescent="0.2">
      <c r="A120" s="3"/>
      <c r="B120" s="3"/>
      <c r="C120" s="3"/>
      <c r="E120" s="3"/>
      <c r="F120" s="3"/>
      <c r="G120" s="3"/>
      <c r="H120" s="3"/>
      <c r="J120" s="3"/>
      <c r="L120" s="3"/>
      <c r="M120" s="3"/>
      <c r="Q120" s="3"/>
      <c r="X120" s="3"/>
    </row>
    <row r="121" spans="1:24" x14ac:dyDescent="0.2">
      <c r="A121" s="3"/>
      <c r="B121" s="3"/>
      <c r="C121" s="3"/>
      <c r="E121" s="3"/>
      <c r="F121" s="3"/>
      <c r="G121" s="3"/>
      <c r="H121" s="3"/>
      <c r="J121" s="3"/>
      <c r="L121" s="3"/>
      <c r="M121" s="3"/>
      <c r="Q121" s="3"/>
      <c r="X121" s="3"/>
    </row>
    <row r="122" spans="1:24" x14ac:dyDescent="0.2">
      <c r="A122" s="3"/>
      <c r="B122" s="3"/>
      <c r="C122" s="3"/>
      <c r="E122" s="3"/>
      <c r="F122" s="3"/>
      <c r="G122" s="3"/>
      <c r="H122" s="3"/>
      <c r="J122" s="3"/>
      <c r="L122" s="3"/>
      <c r="M122" s="3"/>
      <c r="Q122" s="3"/>
      <c r="X122" s="3"/>
    </row>
    <row r="123" spans="1:24" x14ac:dyDescent="0.2">
      <c r="A123" s="3"/>
      <c r="B123" s="3"/>
      <c r="C123" s="3"/>
      <c r="E123" s="3"/>
      <c r="F123" s="3"/>
      <c r="G123" s="3"/>
      <c r="H123" s="3"/>
      <c r="J123" s="3"/>
      <c r="L123" s="3"/>
      <c r="M123" s="3"/>
      <c r="Q123" s="3"/>
      <c r="X123" s="3"/>
    </row>
    <row r="124" spans="1:24" x14ac:dyDescent="0.2">
      <c r="A124" s="3"/>
      <c r="B124" s="3"/>
      <c r="C124" s="3"/>
      <c r="E124" s="3"/>
      <c r="F124" s="3"/>
      <c r="G124" s="3"/>
      <c r="H124" s="3"/>
      <c r="J124" s="3"/>
      <c r="L124" s="3"/>
      <c r="M124" s="3"/>
      <c r="Q124" s="3"/>
      <c r="X124" s="3"/>
    </row>
    <row r="125" spans="1:24" x14ac:dyDescent="0.2">
      <c r="A125" s="3"/>
      <c r="B125" s="3"/>
      <c r="C125" s="3"/>
      <c r="E125" s="3"/>
      <c r="F125" s="3"/>
      <c r="G125" s="3"/>
      <c r="H125" s="3"/>
      <c r="J125" s="3"/>
      <c r="L125" s="3"/>
      <c r="M125" s="3"/>
      <c r="Q125" s="3"/>
      <c r="X125" s="3"/>
    </row>
    <row r="126" spans="1:24" x14ac:dyDescent="0.2">
      <c r="A126" s="3"/>
      <c r="B126" s="3"/>
      <c r="C126" s="3"/>
      <c r="E126" s="3"/>
      <c r="F126" s="3"/>
      <c r="G126" s="3"/>
      <c r="H126" s="3"/>
      <c r="J126" s="3"/>
      <c r="L126" s="3"/>
      <c r="M126" s="3"/>
      <c r="Q126" s="3"/>
      <c r="X126" s="3"/>
    </row>
    <row r="127" spans="1:24" x14ac:dyDescent="0.2">
      <c r="A127" s="3"/>
      <c r="B127" s="3"/>
      <c r="C127" s="3"/>
      <c r="E127" s="3"/>
      <c r="F127" s="3"/>
      <c r="G127" s="3"/>
      <c r="H127" s="3"/>
      <c r="J127" s="3"/>
      <c r="L127" s="3"/>
      <c r="M127" s="3"/>
      <c r="Q127" s="3"/>
      <c r="X127" s="3"/>
    </row>
    <row r="128" spans="1:24" x14ac:dyDescent="0.2">
      <c r="A128" s="3"/>
      <c r="B128" s="3"/>
      <c r="C128" s="3"/>
      <c r="E128" s="3"/>
      <c r="F128" s="3"/>
      <c r="G128" s="3"/>
      <c r="H128" s="3"/>
      <c r="J128" s="3"/>
      <c r="L128" s="3"/>
      <c r="M128" s="3"/>
      <c r="Q128" s="3"/>
      <c r="X128" s="3"/>
    </row>
    <row r="129" spans="1:24" x14ac:dyDescent="0.2">
      <c r="A129" s="3"/>
      <c r="B129" s="3"/>
      <c r="C129" s="3"/>
      <c r="E129" s="3"/>
      <c r="F129" s="3"/>
      <c r="G129" s="3"/>
      <c r="H129" s="3"/>
      <c r="J129" s="3"/>
      <c r="L129" s="3"/>
      <c r="M129" s="3"/>
      <c r="Q129" s="3"/>
      <c r="X129" s="3"/>
    </row>
    <row r="130" spans="1:24" x14ac:dyDescent="0.2">
      <c r="A130" s="3"/>
      <c r="B130" s="3"/>
      <c r="C130" s="3"/>
      <c r="E130" s="3"/>
      <c r="F130" s="3"/>
      <c r="G130" s="3"/>
      <c r="H130" s="3"/>
      <c r="J130" s="3"/>
      <c r="L130" s="3"/>
      <c r="M130" s="3"/>
      <c r="Q130" s="3"/>
      <c r="X130" s="3"/>
    </row>
    <row r="131" spans="1:24" x14ac:dyDescent="0.2">
      <c r="A131" s="3"/>
      <c r="B131" s="3"/>
      <c r="C131" s="3"/>
      <c r="E131" s="3"/>
      <c r="F131" s="3"/>
      <c r="G131" s="3"/>
      <c r="H131" s="3"/>
      <c r="J131" s="3"/>
      <c r="L131" s="3"/>
      <c r="M131" s="3"/>
      <c r="Q131" s="3"/>
      <c r="X131" s="3"/>
    </row>
    <row r="132" spans="1:24" x14ac:dyDescent="0.2">
      <c r="A132" s="3"/>
      <c r="B132" s="3"/>
      <c r="C132" s="3"/>
      <c r="E132" s="3"/>
      <c r="F132" s="3"/>
      <c r="G132" s="3"/>
      <c r="H132" s="3"/>
      <c r="J132" s="3"/>
      <c r="L132" s="3"/>
      <c r="M132" s="3"/>
      <c r="Q132" s="3"/>
      <c r="X132" s="3"/>
    </row>
    <row r="133" spans="1:24" x14ac:dyDescent="0.2">
      <c r="A133" s="3"/>
      <c r="B133" s="3"/>
      <c r="C133" s="3"/>
      <c r="E133" s="3"/>
      <c r="F133" s="3"/>
      <c r="G133" s="3"/>
      <c r="H133" s="3"/>
      <c r="J133" s="3"/>
      <c r="L133" s="3"/>
      <c r="M133" s="3"/>
      <c r="Q133" s="3"/>
      <c r="X133" s="3"/>
    </row>
    <row r="134" spans="1:24" x14ac:dyDescent="0.2">
      <c r="A134" s="3"/>
      <c r="B134" s="3"/>
      <c r="C134" s="3"/>
      <c r="E134" s="3"/>
      <c r="F134" s="3"/>
      <c r="G134" s="3"/>
      <c r="H134" s="3"/>
      <c r="J134" s="3"/>
      <c r="L134" s="3"/>
      <c r="M134" s="3"/>
      <c r="Q134" s="3"/>
      <c r="X134" s="3"/>
    </row>
    <row r="135" spans="1:24" x14ac:dyDescent="0.2">
      <c r="A135" s="3"/>
      <c r="B135" s="3"/>
      <c r="C135" s="3"/>
      <c r="E135" s="3"/>
      <c r="F135" s="3"/>
      <c r="G135" s="3"/>
      <c r="H135" s="3"/>
      <c r="J135" s="3"/>
      <c r="L135" s="3"/>
      <c r="M135" s="3"/>
      <c r="Q135" s="3"/>
      <c r="X135" s="3"/>
    </row>
    <row r="136" spans="1:24" x14ac:dyDescent="0.2">
      <c r="A136" s="3"/>
      <c r="B136" s="3"/>
      <c r="C136" s="3"/>
      <c r="E136" s="3"/>
      <c r="F136" s="3"/>
      <c r="G136" s="3"/>
      <c r="H136" s="3"/>
      <c r="J136" s="3"/>
      <c r="L136" s="3"/>
      <c r="M136" s="3"/>
      <c r="Q136" s="3"/>
      <c r="X136" s="3"/>
    </row>
    <row r="137" spans="1:24" x14ac:dyDescent="0.2">
      <c r="A137" s="3"/>
      <c r="B137" s="3"/>
      <c r="C137" s="3"/>
      <c r="E137" s="3"/>
      <c r="F137" s="3"/>
      <c r="G137" s="3"/>
      <c r="H137" s="3"/>
      <c r="J137" s="3"/>
      <c r="L137" s="3"/>
      <c r="M137" s="3"/>
      <c r="Q137" s="3"/>
      <c r="X137" s="3"/>
    </row>
    <row r="138" spans="1:24" x14ac:dyDescent="0.2">
      <c r="A138" s="3"/>
      <c r="B138" s="3"/>
      <c r="C138" s="3"/>
      <c r="E138" s="3"/>
      <c r="F138" s="3"/>
      <c r="G138" s="3"/>
      <c r="H138" s="3"/>
      <c r="J138" s="3"/>
      <c r="L138" s="3"/>
      <c r="M138" s="3"/>
      <c r="Q138" s="3"/>
      <c r="X138" s="3"/>
    </row>
    <row r="139" spans="1:24" x14ac:dyDescent="0.2">
      <c r="A139" s="3"/>
      <c r="B139" s="3"/>
      <c r="C139" s="3"/>
      <c r="E139" s="3"/>
      <c r="F139" s="3"/>
      <c r="G139" s="3"/>
      <c r="H139" s="3"/>
      <c r="J139" s="3"/>
      <c r="L139" s="3"/>
      <c r="M139" s="3"/>
      <c r="Q139" s="3"/>
      <c r="X139" s="3"/>
    </row>
    <row r="140" spans="1:24" x14ac:dyDescent="0.2">
      <c r="A140" s="3"/>
      <c r="B140" s="3"/>
      <c r="C140" s="3"/>
      <c r="E140" s="3"/>
      <c r="F140" s="3"/>
      <c r="G140" s="3"/>
      <c r="H140" s="3"/>
      <c r="J140" s="3"/>
      <c r="L140" s="3"/>
      <c r="M140" s="3"/>
      <c r="Q140" s="3"/>
      <c r="X140" s="3"/>
    </row>
    <row r="141" spans="1:24" x14ac:dyDescent="0.2">
      <c r="A141" s="3"/>
      <c r="B141" s="3"/>
      <c r="C141" s="3"/>
      <c r="E141" s="3"/>
      <c r="F141" s="3"/>
      <c r="G141" s="3"/>
      <c r="H141" s="3"/>
      <c r="J141" s="3"/>
      <c r="L141" s="3"/>
      <c r="M141" s="3"/>
      <c r="Q141" s="3"/>
      <c r="X141" s="3"/>
    </row>
    <row r="142" spans="1:24" x14ac:dyDescent="0.2">
      <c r="A142" s="3"/>
      <c r="B142" s="3"/>
      <c r="C142" s="3"/>
      <c r="E142" s="3"/>
      <c r="F142" s="3"/>
      <c r="G142" s="3"/>
      <c r="H142" s="3"/>
      <c r="J142" s="3"/>
      <c r="L142" s="3"/>
      <c r="M142" s="3"/>
      <c r="Q142" s="3"/>
      <c r="X142" s="3"/>
    </row>
    <row r="143" spans="1:24" x14ac:dyDescent="0.2">
      <c r="A143" s="3"/>
      <c r="B143" s="3"/>
      <c r="C143" s="3"/>
      <c r="E143" s="3"/>
      <c r="F143" s="3"/>
      <c r="G143" s="3"/>
      <c r="H143" s="3"/>
      <c r="J143" s="3"/>
      <c r="L143" s="3"/>
      <c r="M143" s="3"/>
      <c r="Q143" s="3"/>
      <c r="X143" s="3"/>
    </row>
    <row r="144" spans="1:24" x14ac:dyDescent="0.2">
      <c r="A144" s="3"/>
      <c r="B144" s="3"/>
      <c r="C144" s="3"/>
      <c r="E144" s="3"/>
      <c r="F144" s="3"/>
      <c r="G144" s="3"/>
      <c r="H144" s="3"/>
      <c r="J144" s="3"/>
      <c r="L144" s="3"/>
      <c r="M144" s="3"/>
      <c r="Q144" s="3"/>
      <c r="X144" s="3"/>
    </row>
    <row r="145" spans="1:24" x14ac:dyDescent="0.2">
      <c r="A145" s="3"/>
      <c r="B145" s="3"/>
      <c r="C145" s="3"/>
      <c r="E145" s="3"/>
      <c r="F145" s="3"/>
      <c r="G145" s="3"/>
      <c r="H145" s="3"/>
      <c r="J145" s="3"/>
      <c r="L145" s="3"/>
      <c r="M145" s="3"/>
      <c r="Q145" s="3"/>
      <c r="X145" s="3"/>
    </row>
    <row r="146" spans="1:24" x14ac:dyDescent="0.2">
      <c r="A146" s="3"/>
      <c r="B146" s="3"/>
      <c r="C146" s="3"/>
      <c r="E146" s="3"/>
      <c r="F146" s="3"/>
      <c r="G146" s="3"/>
      <c r="H146" s="3"/>
      <c r="J146" s="3"/>
      <c r="L146" s="3"/>
      <c r="M146" s="3"/>
      <c r="Q146" s="3"/>
      <c r="X146" s="3"/>
    </row>
    <row r="147" spans="1:24" x14ac:dyDescent="0.2">
      <c r="A147" s="3"/>
      <c r="B147" s="3"/>
      <c r="C147" s="3"/>
      <c r="E147" s="3"/>
      <c r="F147" s="3"/>
      <c r="G147" s="3"/>
      <c r="H147" s="3"/>
      <c r="J147" s="3"/>
      <c r="L147" s="3"/>
      <c r="M147" s="3"/>
      <c r="Q147" s="3"/>
      <c r="X147" s="3"/>
    </row>
    <row r="148" spans="1:24" x14ac:dyDescent="0.2">
      <c r="A148" s="3"/>
      <c r="B148" s="3"/>
      <c r="C148" s="3"/>
      <c r="E148" s="3"/>
      <c r="F148" s="3"/>
      <c r="G148" s="3"/>
      <c r="H148" s="3"/>
      <c r="J148" s="3"/>
      <c r="L148" s="3"/>
      <c r="M148" s="3"/>
      <c r="Q148" s="3"/>
      <c r="X148" s="3"/>
    </row>
    <row r="149" spans="1:24" x14ac:dyDescent="0.2">
      <c r="A149" s="3"/>
      <c r="B149" s="3"/>
      <c r="C149" s="3"/>
      <c r="E149" s="3"/>
      <c r="F149" s="3"/>
      <c r="G149" s="3"/>
      <c r="H149" s="3"/>
      <c r="J149" s="3"/>
      <c r="L149" s="3"/>
      <c r="M149" s="3"/>
      <c r="Q149" s="3"/>
      <c r="X149" s="3"/>
    </row>
    <row r="150" spans="1:24" x14ac:dyDescent="0.2">
      <c r="A150" s="3"/>
      <c r="B150" s="3"/>
      <c r="C150" s="3"/>
      <c r="E150" s="3"/>
      <c r="F150" s="3"/>
      <c r="G150" s="3"/>
      <c r="H150" s="3"/>
      <c r="J150" s="3"/>
      <c r="L150" s="3"/>
      <c r="M150" s="3"/>
      <c r="Q150" s="3"/>
      <c r="X150" s="3"/>
    </row>
    <row r="151" spans="1:24" x14ac:dyDescent="0.2">
      <c r="A151" s="3"/>
      <c r="B151" s="3"/>
      <c r="C151" s="3"/>
      <c r="E151" s="3"/>
      <c r="F151" s="3"/>
      <c r="G151" s="3"/>
      <c r="H151" s="3"/>
      <c r="J151" s="3"/>
      <c r="L151" s="3"/>
      <c r="M151" s="3"/>
      <c r="Q151" s="3"/>
      <c r="X151" s="3"/>
    </row>
    <row r="152" spans="1:24" x14ac:dyDescent="0.2">
      <c r="A152" s="3"/>
      <c r="B152" s="3"/>
      <c r="C152" s="3"/>
      <c r="E152" s="3"/>
      <c r="F152" s="3"/>
      <c r="G152" s="3"/>
      <c r="H152" s="3"/>
      <c r="J152" s="3"/>
      <c r="L152" s="3"/>
      <c r="M152" s="3"/>
      <c r="Q152" s="3"/>
      <c r="X152" s="3"/>
    </row>
    <row r="153" spans="1:24" x14ac:dyDescent="0.2">
      <c r="A153" s="3"/>
      <c r="B153" s="3"/>
      <c r="C153" s="3"/>
      <c r="E153" s="3"/>
      <c r="F153" s="3"/>
      <c r="G153" s="3"/>
      <c r="H153" s="3"/>
      <c r="J153" s="3"/>
      <c r="L153" s="3"/>
      <c r="M153" s="3"/>
      <c r="Q153" s="3"/>
      <c r="X153" s="3"/>
    </row>
    <row r="154" spans="1:24" x14ac:dyDescent="0.2">
      <c r="A154" s="3"/>
      <c r="B154" s="3"/>
      <c r="C154" s="3"/>
      <c r="E154" s="3"/>
      <c r="F154" s="3"/>
      <c r="G154" s="3"/>
      <c r="H154" s="3"/>
      <c r="J154" s="3"/>
      <c r="L154" s="3"/>
      <c r="M154" s="3"/>
      <c r="Q154" s="3"/>
      <c r="X154" s="3"/>
    </row>
    <row r="155" spans="1:24" x14ac:dyDescent="0.2">
      <c r="A155" s="3"/>
      <c r="B155" s="3"/>
      <c r="C155" s="3"/>
      <c r="E155" s="3"/>
      <c r="F155" s="3"/>
      <c r="G155" s="3"/>
      <c r="H155" s="3"/>
      <c r="J155" s="3"/>
      <c r="L155" s="3"/>
      <c r="M155" s="3"/>
      <c r="Q155" s="3"/>
      <c r="X155" s="3"/>
    </row>
    <row r="156" spans="1:24" x14ac:dyDescent="0.2">
      <c r="A156" s="3"/>
      <c r="B156" s="3"/>
      <c r="C156" s="3"/>
      <c r="E156" s="3"/>
      <c r="F156" s="3"/>
      <c r="G156" s="3"/>
      <c r="H156" s="3"/>
      <c r="J156" s="3"/>
      <c r="L156" s="3"/>
      <c r="M156" s="3"/>
      <c r="Q156" s="3"/>
      <c r="X156" s="3"/>
    </row>
    <row r="157" spans="1:24" x14ac:dyDescent="0.2">
      <c r="A157" s="3"/>
      <c r="B157" s="3"/>
      <c r="C157" s="3"/>
      <c r="E157" s="3"/>
      <c r="F157" s="3"/>
      <c r="G157" s="3"/>
      <c r="H157" s="3"/>
      <c r="J157" s="3"/>
      <c r="L157" s="3"/>
      <c r="M157" s="3"/>
      <c r="Q157" s="3"/>
      <c r="X157" s="3"/>
    </row>
    <row r="158" spans="1:24" x14ac:dyDescent="0.2">
      <c r="A158" s="3"/>
      <c r="B158" s="3"/>
      <c r="C158" s="3"/>
      <c r="E158" s="3"/>
      <c r="F158" s="3"/>
      <c r="G158" s="3"/>
      <c r="H158" s="3"/>
      <c r="J158" s="3"/>
      <c r="L158" s="3"/>
      <c r="M158" s="3"/>
      <c r="Q158" s="3"/>
      <c r="X158" s="3"/>
    </row>
    <row r="159" spans="1:24" x14ac:dyDescent="0.2">
      <c r="A159" s="3"/>
      <c r="B159" s="3"/>
      <c r="C159" s="3"/>
      <c r="E159" s="3"/>
      <c r="F159" s="3"/>
      <c r="G159" s="3"/>
      <c r="H159" s="3"/>
      <c r="J159" s="3"/>
      <c r="L159" s="3"/>
      <c r="M159" s="3"/>
      <c r="Q159" s="3"/>
      <c r="X159" s="3"/>
    </row>
    <row r="160" spans="1:24" x14ac:dyDescent="0.2">
      <c r="A160" s="3"/>
      <c r="B160" s="3"/>
      <c r="C160" s="3"/>
      <c r="E160" s="3"/>
      <c r="F160" s="3"/>
      <c r="G160" s="3"/>
      <c r="H160" s="3"/>
      <c r="J160" s="3"/>
      <c r="L160" s="3"/>
      <c r="M160" s="3"/>
      <c r="Q160" s="3"/>
      <c r="X160" s="3"/>
    </row>
    <row r="161" spans="1:24" x14ac:dyDescent="0.2">
      <c r="A161" s="3"/>
      <c r="B161" s="3"/>
      <c r="C161" s="3"/>
      <c r="E161" s="3"/>
      <c r="F161" s="3"/>
      <c r="G161" s="3"/>
      <c r="H161" s="3"/>
      <c r="J161" s="3"/>
      <c r="L161" s="3"/>
      <c r="M161" s="3"/>
      <c r="Q161" s="3"/>
      <c r="X161" s="3"/>
    </row>
    <row r="162" spans="1:24" x14ac:dyDescent="0.2">
      <c r="A162" s="3"/>
      <c r="B162" s="3"/>
      <c r="C162" s="3"/>
      <c r="E162" s="3"/>
      <c r="F162" s="3"/>
      <c r="G162" s="3"/>
      <c r="H162" s="3"/>
      <c r="J162" s="3"/>
      <c r="L162" s="3"/>
      <c r="M162" s="3"/>
      <c r="Q162" s="3"/>
      <c r="X162" s="3"/>
    </row>
    <row r="163" spans="1:24" x14ac:dyDescent="0.2">
      <c r="A163" s="3"/>
      <c r="B163" s="3"/>
      <c r="C163" s="3"/>
      <c r="E163" s="3"/>
      <c r="F163" s="3"/>
      <c r="G163" s="3"/>
      <c r="H163" s="3"/>
      <c r="J163" s="3"/>
      <c r="L163" s="3"/>
      <c r="M163" s="3"/>
      <c r="Q163" s="3"/>
      <c r="X163" s="3"/>
    </row>
    <row r="164" spans="1:24" x14ac:dyDescent="0.2">
      <c r="A164" s="3"/>
      <c r="B164" s="3"/>
      <c r="C164" s="3"/>
      <c r="E164" s="3"/>
      <c r="F164" s="3"/>
      <c r="G164" s="3"/>
      <c r="H164" s="3"/>
      <c r="J164" s="3"/>
      <c r="L164" s="3"/>
      <c r="M164" s="3"/>
      <c r="Q164" s="3"/>
      <c r="X164" s="3"/>
    </row>
    <row r="165" spans="1:24" x14ac:dyDescent="0.2">
      <c r="A165" s="3"/>
      <c r="B165" s="3"/>
      <c r="C165" s="3"/>
      <c r="E165" s="3"/>
      <c r="F165" s="3"/>
      <c r="G165" s="3"/>
      <c r="H165" s="3"/>
      <c r="J165" s="3"/>
      <c r="L165" s="3"/>
      <c r="M165" s="3"/>
      <c r="Q165" s="3"/>
      <c r="X165" s="3"/>
    </row>
    <row r="166" spans="1:24" x14ac:dyDescent="0.2">
      <c r="A166" s="3"/>
      <c r="B166" s="3"/>
      <c r="C166" s="3"/>
      <c r="E166" s="3"/>
      <c r="F166" s="3"/>
      <c r="G166" s="3"/>
      <c r="H166" s="3"/>
      <c r="J166" s="3"/>
      <c r="L166" s="3"/>
      <c r="M166" s="3"/>
      <c r="Q166" s="3"/>
      <c r="X166" s="3"/>
    </row>
    <row r="167" spans="1:24" x14ac:dyDescent="0.2">
      <c r="A167" s="3"/>
      <c r="B167" s="3"/>
      <c r="C167" s="3"/>
      <c r="E167" s="3"/>
      <c r="F167" s="3"/>
      <c r="G167" s="3"/>
      <c r="H167" s="3"/>
      <c r="J167" s="3"/>
      <c r="L167" s="3"/>
      <c r="M167" s="3"/>
      <c r="Q167" s="3"/>
      <c r="X167" s="3"/>
    </row>
    <row r="168" spans="1:24" x14ac:dyDescent="0.2">
      <c r="A168" s="3"/>
      <c r="B168" s="3"/>
      <c r="C168" s="3"/>
      <c r="E168" s="3"/>
      <c r="F168" s="3"/>
      <c r="G168" s="3"/>
      <c r="H168" s="3"/>
      <c r="J168" s="3"/>
      <c r="L168" s="3"/>
      <c r="M168" s="3"/>
      <c r="Q168" s="3"/>
      <c r="X168" s="3"/>
    </row>
    <row r="169" spans="1:24" x14ac:dyDescent="0.2">
      <c r="A169" s="3"/>
      <c r="B169" s="3"/>
      <c r="C169" s="3"/>
      <c r="E169" s="3"/>
      <c r="F169" s="3"/>
      <c r="G169" s="3"/>
      <c r="H169" s="3"/>
      <c r="J169" s="3"/>
      <c r="L169" s="3"/>
      <c r="M169" s="3"/>
      <c r="Q169" s="3"/>
      <c r="X169" s="3"/>
    </row>
    <row r="170" spans="1:24" x14ac:dyDescent="0.2">
      <c r="A170" s="3"/>
      <c r="B170" s="3"/>
      <c r="C170" s="3"/>
      <c r="E170" s="3"/>
      <c r="F170" s="3"/>
      <c r="G170" s="3"/>
      <c r="H170" s="3"/>
      <c r="J170" s="3"/>
      <c r="L170" s="3"/>
      <c r="M170" s="3"/>
      <c r="Q170" s="3"/>
      <c r="X170" s="3"/>
    </row>
    <row r="171" spans="1:24" x14ac:dyDescent="0.2">
      <c r="A171" s="3"/>
      <c r="B171" s="3"/>
      <c r="C171" s="3"/>
      <c r="E171" s="3"/>
      <c r="F171" s="3"/>
      <c r="G171" s="3"/>
      <c r="H171" s="3"/>
      <c r="J171" s="3"/>
      <c r="L171" s="3"/>
      <c r="M171" s="3"/>
      <c r="Q171" s="3"/>
      <c r="X171" s="3"/>
    </row>
    <row r="172" spans="1:24" x14ac:dyDescent="0.2">
      <c r="A172" s="3"/>
      <c r="B172" s="3"/>
      <c r="C172" s="3"/>
      <c r="E172" s="3"/>
      <c r="F172" s="3"/>
      <c r="G172" s="3"/>
      <c r="H172" s="3"/>
      <c r="J172" s="3"/>
      <c r="L172" s="3"/>
      <c r="M172" s="3"/>
      <c r="Q172" s="3"/>
      <c r="X172" s="3"/>
    </row>
    <row r="173" spans="1:24" x14ac:dyDescent="0.2">
      <c r="A173" s="3"/>
      <c r="B173" s="3"/>
      <c r="C173" s="3"/>
      <c r="E173" s="3"/>
      <c r="F173" s="3"/>
      <c r="G173" s="3"/>
      <c r="H173" s="3"/>
      <c r="J173" s="3"/>
      <c r="L173" s="3"/>
      <c r="M173" s="3"/>
      <c r="Q173" s="3"/>
      <c r="X173" s="3"/>
    </row>
    <row r="174" spans="1:24" x14ac:dyDescent="0.2">
      <c r="A174" s="3"/>
      <c r="B174" s="3"/>
      <c r="C174" s="3"/>
      <c r="E174" s="3"/>
      <c r="F174" s="3"/>
      <c r="G174" s="3"/>
      <c r="H174" s="3"/>
      <c r="J174" s="3"/>
      <c r="L174" s="3"/>
      <c r="M174" s="3"/>
      <c r="Q174" s="3"/>
      <c r="X174" s="3"/>
    </row>
  </sheetData>
  <mergeCells count="3">
    <mergeCell ref="E3:H3"/>
    <mergeCell ref="L3:O3"/>
    <mergeCell ref="S3:V3"/>
  </mergeCells>
  <pageMargins left="0.25" right="0.25" top="0.75" bottom="0.75" header="0.3" footer="0.3"/>
  <pageSetup scale="4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00FF"/>
    <pageSetUpPr fitToPage="1"/>
  </sheetPr>
  <dimension ref="A1:X128"/>
  <sheetViews>
    <sheetView zoomScale="65" zoomScaleNormal="65" zoomScaleSheetLayoutView="100" workbookViewId="0">
      <pane xSplit="1" ySplit="4" topLeftCell="B5" activePane="bottomRight" state="frozen"/>
      <selection activeCell="A30" sqref="A30"/>
      <selection pane="topRight" activeCell="A30" sqref="A30"/>
      <selection pane="bottomLeft" activeCell="A30" sqref="A30"/>
      <selection pane="bottomRight" activeCell="B5" sqref="B5"/>
    </sheetView>
  </sheetViews>
  <sheetFormatPr defaultColWidth="9.140625" defaultRowHeight="11.25" outlineLevelCol="2" x14ac:dyDescent="0.2"/>
  <cols>
    <col min="1" max="1" width="90.7109375" style="4" customWidth="1"/>
    <col min="2" max="3" width="20.7109375" style="4" customWidth="1" outlineLevel="1"/>
    <col min="4" max="4" width="2.140625" style="3" hidden="1" customWidth="1" outlineLevel="2"/>
    <col min="5" max="8" width="20.7109375" style="4" hidden="1" customWidth="1" outlineLevel="2"/>
    <col min="9" max="9" width="1" style="3" hidden="1" customWidth="1" outlineLevel="2"/>
    <col min="10" max="10" width="20.7109375" style="4" customWidth="1" outlineLevel="1" collapsed="1"/>
    <col min="11" max="11" width="1.42578125" style="8" customWidth="1"/>
    <col min="12" max="13" width="20.7109375" style="4" customWidth="1" outlineLevel="1"/>
    <col min="14" max="15" width="20.7109375" style="3" customWidth="1" outlineLevel="1"/>
    <col min="16" max="16" width="1.42578125" style="8" customWidth="1"/>
    <col min="17" max="17" width="20.7109375" style="4" customWidth="1"/>
    <col min="18" max="18" width="2.7109375" style="8" customWidth="1"/>
    <col min="19" max="22" width="20.7109375" style="3" customWidth="1"/>
    <col min="23" max="23" width="2.28515625" style="8" customWidth="1"/>
    <col min="24" max="24" width="20.7109375" style="4" customWidth="1"/>
    <col min="25" max="16384" width="9.140625" style="8"/>
  </cols>
  <sheetData>
    <row r="1" spans="1:24" s="164" customFormat="1" ht="18" x14ac:dyDescent="0.25">
      <c r="A1" s="211" t="s">
        <v>186</v>
      </c>
      <c r="B1" s="163"/>
      <c r="C1" s="163"/>
      <c r="D1" s="163"/>
      <c r="E1" s="163"/>
      <c r="F1" s="163"/>
      <c r="G1" s="163"/>
      <c r="H1" s="163"/>
      <c r="I1" s="163"/>
      <c r="J1" s="163"/>
      <c r="L1" s="163"/>
      <c r="M1" s="163"/>
      <c r="N1" s="163"/>
      <c r="O1" s="163"/>
      <c r="Q1" s="163"/>
      <c r="S1" s="163"/>
      <c r="T1" s="163"/>
      <c r="U1" s="163"/>
      <c r="V1" s="163"/>
      <c r="X1" s="163"/>
    </row>
    <row r="2" spans="1:24" s="164" customFormat="1" ht="12" customHeight="1" x14ac:dyDescent="0.2">
      <c r="A2" s="179"/>
      <c r="B2" s="163"/>
      <c r="C2" s="163"/>
      <c r="D2" s="163"/>
      <c r="E2" s="163"/>
      <c r="F2" s="163"/>
      <c r="G2" s="163"/>
      <c r="H2" s="163"/>
      <c r="I2" s="163"/>
      <c r="J2" s="163"/>
      <c r="L2" s="163"/>
      <c r="M2" s="163"/>
      <c r="N2" s="163"/>
      <c r="O2" s="163"/>
      <c r="Q2" s="163"/>
      <c r="S2" s="163"/>
      <c r="T2" s="163"/>
      <c r="U2" s="163"/>
      <c r="V2" s="163"/>
      <c r="X2" s="163"/>
    </row>
    <row r="3" spans="1:24" s="82" customFormat="1" ht="30" customHeight="1" x14ac:dyDescent="0.25">
      <c r="A3" s="83"/>
      <c r="B3" s="196" t="s">
        <v>31</v>
      </c>
      <c r="C3" s="196" t="s">
        <v>31</v>
      </c>
      <c r="D3" s="99"/>
      <c r="E3" s="354" t="s">
        <v>1</v>
      </c>
      <c r="F3" s="354"/>
      <c r="G3" s="354"/>
      <c r="H3" s="354"/>
      <c r="I3" s="99"/>
      <c r="J3" s="81" t="s">
        <v>31</v>
      </c>
      <c r="K3" s="99"/>
      <c r="L3" s="354" t="s">
        <v>1</v>
      </c>
      <c r="M3" s="354"/>
      <c r="N3" s="354"/>
      <c r="O3" s="354"/>
      <c r="Q3" s="262" t="s">
        <v>31</v>
      </c>
      <c r="S3" s="354" t="s">
        <v>1</v>
      </c>
      <c r="T3" s="354"/>
      <c r="U3" s="354"/>
      <c r="V3" s="354"/>
      <c r="W3" s="24"/>
      <c r="X3" s="303" t="s">
        <v>31</v>
      </c>
    </row>
    <row r="4" spans="1:24" s="82" customFormat="1" ht="30" customHeight="1" x14ac:dyDescent="0.25">
      <c r="A4" s="152" t="s">
        <v>21</v>
      </c>
      <c r="B4" s="100" t="s">
        <v>155</v>
      </c>
      <c r="C4" s="151" t="s">
        <v>159</v>
      </c>
      <c r="D4" s="99"/>
      <c r="E4" s="84" t="s">
        <v>156</v>
      </c>
      <c r="F4" s="84" t="s">
        <v>157</v>
      </c>
      <c r="G4" s="84" t="s">
        <v>158</v>
      </c>
      <c r="H4" s="84" t="s">
        <v>100</v>
      </c>
      <c r="I4" s="99"/>
      <c r="J4" s="84" t="s">
        <v>100</v>
      </c>
      <c r="K4" s="99"/>
      <c r="L4" s="84" t="s">
        <v>148</v>
      </c>
      <c r="M4" s="84" t="s">
        <v>149</v>
      </c>
      <c r="N4" s="84" t="s">
        <v>109</v>
      </c>
      <c r="O4" s="84" t="s">
        <v>314</v>
      </c>
      <c r="Q4" s="84" t="s">
        <v>314</v>
      </c>
      <c r="S4" s="84" t="s">
        <v>327</v>
      </c>
      <c r="T4" s="84" t="s">
        <v>330</v>
      </c>
      <c r="U4" s="84" t="s">
        <v>338</v>
      </c>
      <c r="V4" s="84" t="s">
        <v>346</v>
      </c>
      <c r="W4" s="24"/>
      <c r="X4" s="84" t="s">
        <v>346</v>
      </c>
    </row>
    <row r="5" spans="1:24" s="47" customFormat="1" ht="16.5" x14ac:dyDescent="0.25">
      <c r="A5" s="156"/>
      <c r="B5" s="68"/>
      <c r="C5" s="68"/>
      <c r="D5" s="68"/>
      <c r="E5" s="68"/>
      <c r="F5" s="68"/>
      <c r="G5" s="68"/>
      <c r="H5" s="68"/>
      <c r="I5" s="52"/>
      <c r="J5" s="68"/>
      <c r="K5" s="106"/>
      <c r="L5" s="68"/>
      <c r="M5" s="68"/>
      <c r="N5" s="52"/>
      <c r="O5" s="52"/>
      <c r="P5" s="106"/>
      <c r="Q5" s="162"/>
      <c r="S5" s="52"/>
      <c r="T5" s="52"/>
      <c r="U5" s="52"/>
      <c r="V5" s="52"/>
      <c r="X5" s="162"/>
    </row>
    <row r="6" spans="1:24" s="47" customFormat="1" ht="33" x14ac:dyDescent="0.25">
      <c r="A6" s="165" t="s">
        <v>18</v>
      </c>
      <c r="B6" s="166">
        <v>-0.47</v>
      </c>
      <c r="C6" s="166">
        <v>-0.1</v>
      </c>
      <c r="D6" s="166"/>
      <c r="E6" s="166">
        <v>-0.03</v>
      </c>
      <c r="F6" s="166">
        <v>0.33</v>
      </c>
      <c r="G6" s="166">
        <v>0.28999999999999998</v>
      </c>
      <c r="H6" s="166">
        <v>0.41</v>
      </c>
      <c r="I6" s="52"/>
      <c r="J6" s="166">
        <v>1</v>
      </c>
      <c r="K6" s="167"/>
      <c r="L6" s="166">
        <v>0.02</v>
      </c>
      <c r="M6" s="166">
        <v>0.16</v>
      </c>
      <c r="N6" s="166">
        <v>0.17</v>
      </c>
      <c r="O6" s="166">
        <v>7.0000000000000007E-2</v>
      </c>
      <c r="P6" s="167"/>
      <c r="Q6" s="166">
        <v>0.43</v>
      </c>
      <c r="S6" s="166">
        <v>-0.09</v>
      </c>
      <c r="T6" s="166">
        <v>0.09</v>
      </c>
      <c r="U6" s="166">
        <v>0.11</v>
      </c>
      <c r="V6" s="166">
        <v>-0.34</v>
      </c>
      <c r="X6" s="166">
        <v>-0.23</v>
      </c>
    </row>
    <row r="7" spans="1:24" s="169" customFormat="1" ht="33" x14ac:dyDescent="0.25">
      <c r="A7" s="165" t="s">
        <v>4</v>
      </c>
      <c r="B7" s="166">
        <v>2.5099999999999998</v>
      </c>
      <c r="C7" s="166">
        <v>2.81</v>
      </c>
      <c r="D7" s="166"/>
      <c r="E7" s="166">
        <v>0.53</v>
      </c>
      <c r="F7" s="166">
        <v>0.76</v>
      </c>
      <c r="G7" s="166">
        <v>0.85</v>
      </c>
      <c r="H7" s="166">
        <v>1.08</v>
      </c>
      <c r="I7" s="168"/>
      <c r="J7" s="166">
        <v>3.21</v>
      </c>
      <c r="K7" s="167"/>
      <c r="L7" s="166">
        <v>0.73</v>
      </c>
      <c r="M7" s="166">
        <v>0.82</v>
      </c>
      <c r="N7" s="166">
        <v>0.94</v>
      </c>
      <c r="O7" s="166">
        <v>1.1100000000000001</v>
      </c>
      <c r="P7" s="167"/>
      <c r="Q7" s="166">
        <v>3.59</v>
      </c>
      <c r="S7" s="166">
        <v>0.52</v>
      </c>
      <c r="T7" s="166">
        <v>1.06</v>
      </c>
      <c r="U7" s="166">
        <v>1.02</v>
      </c>
      <c r="V7" s="166">
        <v>0.98</v>
      </c>
      <c r="X7" s="166">
        <v>3.6</v>
      </c>
    </row>
    <row r="8" spans="1:24" s="169" customFormat="1" ht="16.5" x14ac:dyDescent="0.25">
      <c r="A8" s="165"/>
      <c r="B8" s="166"/>
      <c r="C8" s="166"/>
      <c r="D8" s="166"/>
      <c r="E8" s="166"/>
      <c r="F8" s="166"/>
      <c r="G8" s="166"/>
      <c r="H8" s="166"/>
      <c r="I8" s="168"/>
      <c r="J8" s="166"/>
      <c r="K8" s="167"/>
      <c r="L8" s="166"/>
      <c r="M8" s="166"/>
      <c r="N8" s="166"/>
      <c r="O8" s="166"/>
      <c r="P8" s="167"/>
      <c r="Q8" s="166"/>
      <c r="S8" s="166"/>
      <c r="T8" s="166"/>
      <c r="U8" s="166"/>
      <c r="V8" s="166"/>
      <c r="X8" s="166"/>
    </row>
    <row r="9" spans="1:24" s="57" customFormat="1" ht="33" x14ac:dyDescent="0.25">
      <c r="A9" s="170" t="s">
        <v>45</v>
      </c>
      <c r="B9" s="171">
        <v>62593</v>
      </c>
      <c r="C9" s="171">
        <v>63312</v>
      </c>
      <c r="D9" s="171"/>
      <c r="E9" s="171">
        <v>63928</v>
      </c>
      <c r="F9" s="171">
        <v>65840</v>
      </c>
      <c r="G9" s="171">
        <v>66200</v>
      </c>
      <c r="H9" s="171">
        <v>66504</v>
      </c>
      <c r="J9" s="171">
        <v>66245</v>
      </c>
      <c r="K9" s="171"/>
      <c r="L9" s="171">
        <v>67088</v>
      </c>
      <c r="M9" s="171">
        <v>67519</v>
      </c>
      <c r="N9" s="171">
        <v>67442</v>
      </c>
      <c r="O9" s="171">
        <v>66999</v>
      </c>
      <c r="P9" s="171"/>
      <c r="Q9" s="171">
        <v>67355</v>
      </c>
      <c r="S9" s="171">
        <v>64376</v>
      </c>
      <c r="T9" s="171">
        <v>65849</v>
      </c>
      <c r="U9" s="171">
        <v>66234</v>
      </c>
      <c r="V9" s="171">
        <v>65753</v>
      </c>
      <c r="X9" s="171">
        <v>65173</v>
      </c>
    </row>
    <row r="10" spans="1:24" s="47" customFormat="1" ht="33" x14ac:dyDescent="0.25">
      <c r="A10" s="172" t="s">
        <v>30</v>
      </c>
      <c r="B10" s="173">
        <v>538</v>
      </c>
      <c r="C10" s="173">
        <v>1046</v>
      </c>
      <c r="D10" s="174"/>
      <c r="E10" s="173">
        <v>1203</v>
      </c>
      <c r="F10" s="173">
        <v>0</v>
      </c>
      <c r="G10" s="173">
        <v>0</v>
      </c>
      <c r="H10" s="173">
        <v>0</v>
      </c>
      <c r="J10" s="173">
        <v>0</v>
      </c>
      <c r="K10" s="175"/>
      <c r="L10" s="173">
        <v>0</v>
      </c>
      <c r="M10" s="173">
        <v>0</v>
      </c>
      <c r="N10" s="173">
        <v>0</v>
      </c>
      <c r="O10" s="173">
        <v>0</v>
      </c>
      <c r="P10" s="175"/>
      <c r="Q10" s="173">
        <v>0</v>
      </c>
      <c r="S10" s="173">
        <v>1233</v>
      </c>
      <c r="T10" s="173">
        <v>3495</v>
      </c>
      <c r="U10" s="173">
        <v>3739</v>
      </c>
      <c r="V10" s="173">
        <v>4846</v>
      </c>
      <c r="X10" s="173">
        <v>3654</v>
      </c>
    </row>
    <row r="11" spans="1:24" s="57" customFormat="1" ht="33.75" customHeight="1" x14ac:dyDescent="0.25">
      <c r="A11" s="170" t="s">
        <v>17</v>
      </c>
      <c r="B11" s="171">
        <f>SUM(B9:B10)</f>
        <v>63131</v>
      </c>
      <c r="C11" s="171">
        <f>SUM(C9:C10)</f>
        <v>64358</v>
      </c>
      <c r="D11" s="171"/>
      <c r="E11" s="171">
        <f>SUM(E9:E10)</f>
        <v>65131</v>
      </c>
      <c r="F11" s="171">
        <f>SUM(F9:F10)</f>
        <v>65840</v>
      </c>
      <c r="G11" s="171">
        <f>SUM(G9:G10)</f>
        <v>66200</v>
      </c>
      <c r="H11" s="171">
        <f>SUM(H9:H10)</f>
        <v>66504</v>
      </c>
      <c r="J11" s="171">
        <f>SUM(J9:J10)</f>
        <v>66245</v>
      </c>
      <c r="K11" s="171"/>
      <c r="L11" s="171">
        <f>SUM(L9:L10)</f>
        <v>67088</v>
      </c>
      <c r="M11" s="171">
        <f>SUM(M9:M10)</f>
        <v>67519</v>
      </c>
      <c r="N11" s="171">
        <f>SUM(N9:N10)</f>
        <v>67442</v>
      </c>
      <c r="O11" s="171">
        <f>SUM(O9:O10)</f>
        <v>66999</v>
      </c>
      <c r="P11" s="171"/>
      <c r="Q11" s="171">
        <f>SUM(Q9:Q10)</f>
        <v>67355</v>
      </c>
      <c r="S11" s="171">
        <f>SUM(S9:S10)</f>
        <v>65609</v>
      </c>
      <c r="T11" s="171">
        <f>SUM(T9:T10)</f>
        <v>69344</v>
      </c>
      <c r="U11" s="171">
        <f>SUM(U9:U10)</f>
        <v>69973</v>
      </c>
      <c r="V11" s="171">
        <f>SUM(V9:V10)</f>
        <v>70599</v>
      </c>
      <c r="X11" s="171">
        <f>SUM(X9:X10)</f>
        <v>68827</v>
      </c>
    </row>
    <row r="12" spans="1:24" s="169" customFormat="1" ht="16.5" x14ac:dyDescent="0.25">
      <c r="A12" s="165"/>
      <c r="B12" s="166"/>
      <c r="C12" s="166"/>
      <c r="D12" s="166"/>
      <c r="E12" s="166"/>
      <c r="F12" s="166"/>
      <c r="G12" s="166"/>
      <c r="H12" s="166"/>
      <c r="I12" s="168"/>
      <c r="J12" s="166"/>
      <c r="K12" s="167"/>
      <c r="L12" s="166"/>
      <c r="M12" s="166"/>
      <c r="N12" s="166"/>
      <c r="O12" s="166"/>
      <c r="P12" s="167"/>
      <c r="Q12" s="166"/>
      <c r="S12" s="166"/>
      <c r="T12" s="166"/>
      <c r="U12" s="166"/>
      <c r="V12" s="166"/>
      <c r="X12" s="166"/>
    </row>
    <row r="13" spans="1:24" s="47" customFormat="1" ht="4.5" customHeight="1" x14ac:dyDescent="0.25">
      <c r="A13" s="55"/>
      <c r="B13" s="176"/>
      <c r="C13" s="176"/>
      <c r="D13" s="177"/>
      <c r="E13" s="176"/>
      <c r="F13" s="176"/>
      <c r="G13" s="176"/>
      <c r="H13" s="176"/>
      <c r="I13" s="52"/>
      <c r="J13" s="176"/>
      <c r="K13" s="178"/>
      <c r="L13" s="176"/>
      <c r="M13" s="176"/>
      <c r="N13" s="52"/>
      <c r="O13" s="52"/>
      <c r="P13" s="178"/>
      <c r="Q13" s="52"/>
      <c r="S13" s="52"/>
      <c r="T13" s="52"/>
      <c r="U13" s="52"/>
      <c r="V13" s="52"/>
      <c r="X13" s="52"/>
    </row>
    <row r="14" spans="1:24" x14ac:dyDescent="0.2">
      <c r="A14" s="1"/>
      <c r="B14" s="6"/>
      <c r="C14" s="6"/>
      <c r="D14" s="7"/>
      <c r="E14" s="6"/>
      <c r="F14" s="6"/>
      <c r="G14" s="6"/>
      <c r="H14" s="6"/>
      <c r="J14" s="6"/>
      <c r="K14" s="10"/>
      <c r="L14" s="6"/>
      <c r="M14" s="6"/>
      <c r="P14" s="10"/>
      <c r="Q14" s="3"/>
      <c r="X14" s="3"/>
    </row>
    <row r="15" spans="1:24" x14ac:dyDescent="0.2">
      <c r="A15" s="2"/>
      <c r="B15" s="6"/>
      <c r="C15" s="6"/>
      <c r="D15" s="7"/>
      <c r="E15" s="6"/>
      <c r="F15" s="6"/>
      <c r="G15" s="6"/>
      <c r="H15" s="6"/>
      <c r="J15" s="6"/>
      <c r="K15" s="10"/>
      <c r="L15" s="6"/>
      <c r="M15" s="6"/>
      <c r="P15" s="10"/>
      <c r="Q15" s="3"/>
      <c r="X15" s="3"/>
    </row>
    <row r="16" spans="1:24" x14ac:dyDescent="0.2">
      <c r="A16" s="3"/>
      <c r="B16" s="3"/>
      <c r="C16" s="3"/>
      <c r="E16" s="3"/>
      <c r="F16" s="3"/>
      <c r="G16" s="3"/>
      <c r="H16" s="3"/>
      <c r="J16" s="3"/>
      <c r="L16" s="3"/>
      <c r="M16" s="3"/>
      <c r="Q16" s="3"/>
      <c r="X16" s="3"/>
    </row>
    <row r="17" spans="1:24" x14ac:dyDescent="0.2">
      <c r="A17" s="3"/>
      <c r="B17" s="3"/>
      <c r="C17" s="3"/>
      <c r="E17" s="3"/>
      <c r="F17" s="3"/>
      <c r="G17" s="3"/>
      <c r="H17" s="3"/>
      <c r="J17" s="3"/>
      <c r="L17" s="3"/>
      <c r="M17" s="3"/>
      <c r="Q17" s="3"/>
      <c r="X17" s="3"/>
    </row>
    <row r="18" spans="1:24" x14ac:dyDescent="0.2">
      <c r="A18" s="3"/>
      <c r="B18" s="3"/>
      <c r="C18" s="3"/>
      <c r="E18" s="3"/>
      <c r="F18" s="3"/>
      <c r="G18" s="3"/>
      <c r="H18" s="3"/>
      <c r="J18" s="3"/>
      <c r="L18" s="3"/>
      <c r="M18" s="3"/>
      <c r="Q18" s="3"/>
      <c r="X18" s="3"/>
    </row>
    <row r="19" spans="1:24" x14ac:dyDescent="0.2">
      <c r="A19" s="3"/>
      <c r="B19" s="3"/>
      <c r="C19" s="3"/>
      <c r="E19" s="3"/>
      <c r="F19" s="3"/>
      <c r="G19" s="3"/>
      <c r="H19" s="3"/>
      <c r="J19" s="3"/>
      <c r="L19" s="3"/>
      <c r="M19" s="3"/>
      <c r="Q19" s="3"/>
      <c r="X19" s="3"/>
    </row>
    <row r="20" spans="1:24" x14ac:dyDescent="0.2">
      <c r="A20" s="3"/>
      <c r="B20" s="3"/>
      <c r="C20" s="3"/>
      <c r="E20" s="3"/>
      <c r="F20" s="3"/>
      <c r="G20" s="3"/>
      <c r="H20" s="3"/>
      <c r="J20" s="3"/>
      <c r="L20" s="3"/>
      <c r="M20" s="3"/>
      <c r="Q20" s="3"/>
      <c r="X20" s="3"/>
    </row>
    <row r="21" spans="1:24" x14ac:dyDescent="0.2">
      <c r="A21" s="3"/>
      <c r="B21" s="3"/>
      <c r="C21" s="3"/>
      <c r="E21" s="3"/>
      <c r="F21" s="3"/>
      <c r="G21" s="3"/>
      <c r="H21" s="3"/>
      <c r="J21" s="3"/>
      <c r="L21" s="3"/>
      <c r="M21" s="3"/>
      <c r="Q21" s="3"/>
      <c r="X21" s="3"/>
    </row>
    <row r="22" spans="1:24" x14ac:dyDescent="0.2">
      <c r="A22" s="3"/>
      <c r="B22" s="3"/>
      <c r="C22" s="3"/>
      <c r="E22" s="3"/>
      <c r="F22" s="3"/>
      <c r="G22" s="3"/>
      <c r="H22" s="3"/>
      <c r="J22" s="3"/>
      <c r="L22" s="3"/>
      <c r="M22" s="3"/>
      <c r="Q22" s="3"/>
      <c r="X22" s="3"/>
    </row>
    <row r="23" spans="1:24" x14ac:dyDescent="0.2">
      <c r="A23" s="3"/>
      <c r="B23" s="3"/>
      <c r="C23" s="3"/>
      <c r="E23" s="3"/>
      <c r="F23" s="3"/>
      <c r="G23" s="3"/>
      <c r="H23" s="3"/>
      <c r="J23" s="3"/>
      <c r="L23" s="3"/>
      <c r="M23" s="3"/>
      <c r="Q23" s="3"/>
      <c r="X23" s="3"/>
    </row>
    <row r="24" spans="1:24" x14ac:dyDescent="0.2">
      <c r="A24" s="3"/>
      <c r="B24" s="3"/>
      <c r="C24" s="3"/>
      <c r="E24" s="3"/>
      <c r="F24" s="3"/>
      <c r="G24" s="3"/>
      <c r="H24" s="3"/>
      <c r="J24" s="3"/>
      <c r="L24" s="3"/>
      <c r="M24" s="3"/>
      <c r="Q24" s="3"/>
      <c r="X24" s="3"/>
    </row>
    <row r="25" spans="1:24" x14ac:dyDescent="0.2">
      <c r="A25" s="3"/>
      <c r="B25" s="3"/>
      <c r="C25" s="3"/>
      <c r="E25" s="3"/>
      <c r="F25" s="3"/>
      <c r="G25" s="3"/>
      <c r="H25" s="3"/>
      <c r="J25" s="3"/>
      <c r="L25" s="3"/>
      <c r="M25" s="3"/>
      <c r="Q25" s="3"/>
      <c r="X25" s="3"/>
    </row>
    <row r="26" spans="1:24" x14ac:dyDescent="0.2">
      <c r="A26" s="3"/>
      <c r="B26" s="3"/>
      <c r="C26" s="3"/>
      <c r="E26" s="3"/>
      <c r="F26" s="3"/>
      <c r="G26" s="3"/>
      <c r="H26" s="3"/>
      <c r="J26" s="3"/>
      <c r="L26" s="3"/>
      <c r="M26" s="3"/>
      <c r="Q26" s="3"/>
      <c r="X26" s="3"/>
    </row>
    <row r="27" spans="1:24" x14ac:dyDescent="0.2">
      <c r="A27" s="3"/>
      <c r="B27" s="3"/>
      <c r="C27" s="3"/>
      <c r="E27" s="3"/>
      <c r="F27" s="3"/>
      <c r="G27" s="3"/>
      <c r="H27" s="3"/>
      <c r="J27" s="3"/>
      <c r="L27" s="3"/>
      <c r="M27" s="3"/>
      <c r="Q27" s="3"/>
      <c r="X27" s="3"/>
    </row>
    <row r="28" spans="1:24" x14ac:dyDescent="0.2">
      <c r="A28" s="3"/>
      <c r="B28" s="3"/>
      <c r="C28" s="3"/>
      <c r="E28" s="3"/>
      <c r="F28" s="3"/>
      <c r="G28" s="3"/>
      <c r="H28" s="3"/>
      <c r="J28" s="3"/>
      <c r="L28" s="3"/>
      <c r="M28" s="3"/>
      <c r="Q28" s="3"/>
      <c r="X28" s="3"/>
    </row>
    <row r="29" spans="1:24" x14ac:dyDescent="0.2">
      <c r="A29" s="3"/>
      <c r="B29" s="3"/>
      <c r="C29" s="3"/>
      <c r="E29" s="3"/>
      <c r="F29" s="3"/>
      <c r="G29" s="3"/>
      <c r="H29" s="3"/>
      <c r="J29" s="3"/>
      <c r="L29" s="3"/>
      <c r="M29" s="3"/>
      <c r="Q29" s="3"/>
      <c r="X29" s="3"/>
    </row>
    <row r="30" spans="1:24" x14ac:dyDescent="0.2">
      <c r="A30" s="3"/>
      <c r="B30" s="3"/>
      <c r="C30" s="3"/>
      <c r="E30" s="3"/>
      <c r="F30" s="3"/>
      <c r="G30" s="3"/>
      <c r="H30" s="3"/>
      <c r="J30" s="3"/>
      <c r="L30" s="3"/>
      <c r="M30" s="3"/>
      <c r="Q30" s="3"/>
      <c r="X30" s="3"/>
    </row>
    <row r="31" spans="1:24" x14ac:dyDescent="0.2">
      <c r="A31" s="3"/>
      <c r="B31" s="3"/>
      <c r="C31" s="3"/>
      <c r="E31" s="3"/>
      <c r="F31" s="3"/>
      <c r="G31" s="3"/>
      <c r="H31" s="3"/>
      <c r="J31" s="3"/>
      <c r="L31" s="3"/>
      <c r="M31" s="3"/>
      <c r="Q31" s="3"/>
      <c r="X31" s="3"/>
    </row>
    <row r="32" spans="1:24" x14ac:dyDescent="0.2">
      <c r="A32" s="3"/>
      <c r="B32" s="3"/>
      <c r="C32" s="3"/>
      <c r="E32" s="3"/>
      <c r="F32" s="3"/>
      <c r="G32" s="3"/>
      <c r="H32" s="3"/>
      <c r="J32" s="3"/>
      <c r="L32" s="3"/>
      <c r="M32" s="3"/>
      <c r="Q32" s="3"/>
      <c r="X32" s="3"/>
    </row>
    <row r="33" spans="1:24" x14ac:dyDescent="0.2">
      <c r="A33" s="3"/>
      <c r="B33" s="3"/>
      <c r="C33" s="3"/>
      <c r="E33" s="3"/>
      <c r="F33" s="3"/>
      <c r="G33" s="3"/>
      <c r="H33" s="3"/>
      <c r="J33" s="3"/>
      <c r="L33" s="3"/>
      <c r="M33" s="3"/>
      <c r="Q33" s="3"/>
      <c r="X33" s="3"/>
    </row>
    <row r="34" spans="1:24" x14ac:dyDescent="0.2">
      <c r="A34" s="3"/>
      <c r="B34" s="3"/>
      <c r="C34" s="3"/>
      <c r="E34" s="3"/>
      <c r="F34" s="3"/>
      <c r="G34" s="3"/>
      <c r="H34" s="3"/>
      <c r="J34" s="3"/>
      <c r="L34" s="3"/>
      <c r="M34" s="3"/>
      <c r="Q34" s="3"/>
      <c r="X34" s="3"/>
    </row>
    <row r="35" spans="1:24" x14ac:dyDescent="0.2">
      <c r="A35" s="3"/>
      <c r="B35" s="3"/>
      <c r="C35" s="3"/>
      <c r="E35" s="3"/>
      <c r="F35" s="3"/>
      <c r="G35" s="3"/>
      <c r="H35" s="3"/>
      <c r="J35" s="3"/>
      <c r="L35" s="3"/>
      <c r="M35" s="3"/>
      <c r="Q35" s="3"/>
      <c r="X35" s="3"/>
    </row>
    <row r="36" spans="1:24" x14ac:dyDescent="0.2">
      <c r="A36" s="3"/>
      <c r="B36" s="3"/>
      <c r="C36" s="3"/>
      <c r="E36" s="3"/>
      <c r="F36" s="3"/>
      <c r="G36" s="3"/>
      <c r="H36" s="3"/>
      <c r="J36" s="3"/>
      <c r="L36" s="3"/>
      <c r="M36" s="3"/>
      <c r="Q36" s="3"/>
      <c r="X36" s="3"/>
    </row>
    <row r="37" spans="1:24" x14ac:dyDescent="0.2">
      <c r="A37" s="3"/>
      <c r="B37" s="3"/>
      <c r="C37" s="3"/>
      <c r="E37" s="3"/>
      <c r="F37" s="3"/>
      <c r="G37" s="3"/>
      <c r="H37" s="3"/>
      <c r="J37" s="3"/>
      <c r="L37" s="3"/>
      <c r="M37" s="3"/>
      <c r="Q37" s="3"/>
      <c r="X37" s="3"/>
    </row>
    <row r="38" spans="1:24" x14ac:dyDescent="0.2">
      <c r="A38" s="3"/>
      <c r="B38" s="3"/>
      <c r="C38" s="3"/>
      <c r="E38" s="3"/>
      <c r="F38" s="3"/>
      <c r="G38" s="3"/>
      <c r="H38" s="3"/>
      <c r="J38" s="3"/>
      <c r="L38" s="3"/>
      <c r="M38" s="3"/>
      <c r="Q38" s="3"/>
      <c r="X38" s="3"/>
    </row>
    <row r="39" spans="1:24" x14ac:dyDescent="0.2">
      <c r="A39" s="3"/>
      <c r="B39" s="3"/>
      <c r="C39" s="3"/>
      <c r="E39" s="3"/>
      <c r="F39" s="3"/>
      <c r="G39" s="3"/>
      <c r="H39" s="3"/>
      <c r="J39" s="3"/>
      <c r="L39" s="3"/>
      <c r="M39" s="3"/>
      <c r="Q39" s="3"/>
      <c r="X39" s="3"/>
    </row>
    <row r="40" spans="1:24" x14ac:dyDescent="0.2">
      <c r="A40" s="3"/>
      <c r="B40" s="3"/>
      <c r="C40" s="3"/>
      <c r="E40" s="3"/>
      <c r="F40" s="3"/>
      <c r="G40" s="3"/>
      <c r="H40" s="3"/>
      <c r="J40" s="3"/>
      <c r="L40" s="3"/>
      <c r="M40" s="3"/>
      <c r="Q40" s="3"/>
      <c r="X40" s="3"/>
    </row>
    <row r="41" spans="1:24" x14ac:dyDescent="0.2">
      <c r="A41" s="3"/>
      <c r="B41" s="3"/>
      <c r="C41" s="3"/>
      <c r="E41" s="3"/>
      <c r="F41" s="3"/>
      <c r="G41" s="3"/>
      <c r="H41" s="3"/>
      <c r="J41" s="3"/>
      <c r="L41" s="3"/>
      <c r="M41" s="3"/>
      <c r="Q41" s="3"/>
      <c r="X41" s="3"/>
    </row>
    <row r="42" spans="1:24" x14ac:dyDescent="0.2">
      <c r="A42" s="3"/>
      <c r="B42" s="3"/>
      <c r="C42" s="3"/>
      <c r="E42" s="3"/>
      <c r="F42" s="3"/>
      <c r="G42" s="3"/>
      <c r="H42" s="3"/>
      <c r="J42" s="3"/>
      <c r="L42" s="3"/>
      <c r="M42" s="3"/>
      <c r="Q42" s="3"/>
      <c r="X42" s="3"/>
    </row>
    <row r="43" spans="1:24" x14ac:dyDescent="0.2">
      <c r="A43" s="3"/>
      <c r="B43" s="3"/>
      <c r="C43" s="3"/>
      <c r="E43" s="3"/>
      <c r="F43" s="3"/>
      <c r="G43" s="3"/>
      <c r="H43" s="3"/>
      <c r="J43" s="3"/>
      <c r="L43" s="3"/>
      <c r="M43" s="3"/>
      <c r="Q43" s="3"/>
      <c r="X43" s="3"/>
    </row>
    <row r="44" spans="1:24" x14ac:dyDescent="0.2">
      <c r="A44" s="3"/>
      <c r="B44" s="3"/>
      <c r="C44" s="3"/>
      <c r="E44" s="3"/>
      <c r="F44" s="3"/>
      <c r="G44" s="3"/>
      <c r="H44" s="3"/>
      <c r="J44" s="3"/>
      <c r="L44" s="3"/>
      <c r="M44" s="3"/>
      <c r="Q44" s="3"/>
      <c r="X44" s="3"/>
    </row>
    <row r="45" spans="1:24" x14ac:dyDescent="0.2">
      <c r="A45" s="3"/>
      <c r="B45" s="3"/>
      <c r="C45" s="3"/>
      <c r="E45" s="3"/>
      <c r="F45" s="3"/>
      <c r="G45" s="3"/>
      <c r="H45" s="3"/>
      <c r="J45" s="3"/>
      <c r="L45" s="3"/>
      <c r="M45" s="3"/>
      <c r="Q45" s="3"/>
      <c r="X45" s="3"/>
    </row>
    <row r="46" spans="1:24" x14ac:dyDescent="0.2">
      <c r="A46" s="3"/>
      <c r="B46" s="3"/>
      <c r="C46" s="3"/>
      <c r="E46" s="3"/>
      <c r="F46" s="3"/>
      <c r="G46" s="3"/>
      <c r="H46" s="3"/>
      <c r="J46" s="3"/>
      <c r="L46" s="3"/>
      <c r="M46" s="3"/>
      <c r="Q46" s="3"/>
      <c r="X46" s="3"/>
    </row>
    <row r="47" spans="1:24" x14ac:dyDescent="0.2">
      <c r="A47" s="3"/>
      <c r="B47" s="3"/>
      <c r="C47" s="3"/>
      <c r="E47" s="3"/>
      <c r="F47" s="3"/>
      <c r="G47" s="3"/>
      <c r="H47" s="3"/>
      <c r="J47" s="3"/>
      <c r="L47" s="3"/>
      <c r="M47" s="3"/>
      <c r="Q47" s="3"/>
      <c r="X47" s="3"/>
    </row>
    <row r="48" spans="1:24" x14ac:dyDescent="0.2">
      <c r="A48" s="3"/>
      <c r="B48" s="3"/>
      <c r="C48" s="3"/>
      <c r="E48" s="3"/>
      <c r="F48" s="3"/>
      <c r="G48" s="3"/>
      <c r="H48" s="3"/>
      <c r="J48" s="3"/>
      <c r="L48" s="3"/>
      <c r="M48" s="3"/>
      <c r="Q48" s="3"/>
      <c r="X48" s="3"/>
    </row>
    <row r="49" spans="1:24" x14ac:dyDescent="0.2">
      <c r="A49" s="3"/>
      <c r="B49" s="3"/>
      <c r="C49" s="3"/>
      <c r="E49" s="3"/>
      <c r="F49" s="3"/>
      <c r="G49" s="3"/>
      <c r="H49" s="3"/>
      <c r="J49" s="3"/>
      <c r="L49" s="3"/>
      <c r="M49" s="3"/>
      <c r="Q49" s="3"/>
      <c r="X49" s="3"/>
    </row>
    <row r="50" spans="1:24" x14ac:dyDescent="0.2">
      <c r="A50" s="3"/>
      <c r="B50" s="3"/>
      <c r="C50" s="3"/>
      <c r="E50" s="3"/>
      <c r="F50" s="3"/>
      <c r="G50" s="3"/>
      <c r="H50" s="3"/>
      <c r="J50" s="3"/>
      <c r="L50" s="3"/>
      <c r="M50" s="3"/>
      <c r="Q50" s="3"/>
      <c r="X50" s="3"/>
    </row>
    <row r="51" spans="1:24" x14ac:dyDescent="0.2">
      <c r="A51" s="3"/>
      <c r="B51" s="3"/>
      <c r="C51" s="3"/>
      <c r="E51" s="3"/>
      <c r="F51" s="3"/>
      <c r="G51" s="3"/>
      <c r="H51" s="3"/>
      <c r="J51" s="3"/>
      <c r="L51" s="3"/>
      <c r="M51" s="3"/>
      <c r="Q51" s="3"/>
      <c r="X51" s="3"/>
    </row>
    <row r="52" spans="1:24" x14ac:dyDescent="0.2">
      <c r="A52" s="3"/>
      <c r="B52" s="3"/>
      <c r="C52" s="3"/>
      <c r="E52" s="3"/>
      <c r="F52" s="3"/>
      <c r="G52" s="3"/>
      <c r="H52" s="3"/>
      <c r="J52" s="3"/>
      <c r="L52" s="3"/>
      <c r="M52" s="3"/>
      <c r="Q52" s="3"/>
      <c r="X52" s="3"/>
    </row>
    <row r="53" spans="1:24" x14ac:dyDescent="0.2">
      <c r="A53" s="3"/>
      <c r="B53" s="3"/>
      <c r="C53" s="3"/>
      <c r="E53" s="3"/>
      <c r="F53" s="3"/>
      <c r="G53" s="3"/>
      <c r="H53" s="3"/>
      <c r="J53" s="3"/>
      <c r="L53" s="3"/>
      <c r="M53" s="3"/>
      <c r="Q53" s="3"/>
      <c r="X53" s="3"/>
    </row>
    <row r="54" spans="1:24" x14ac:dyDescent="0.2">
      <c r="A54" s="3"/>
      <c r="B54" s="3"/>
      <c r="C54" s="3"/>
      <c r="E54" s="3"/>
      <c r="F54" s="3"/>
      <c r="G54" s="3"/>
      <c r="H54" s="3"/>
      <c r="J54" s="3"/>
      <c r="L54" s="3"/>
      <c r="M54" s="3"/>
      <c r="Q54" s="3"/>
      <c r="X54" s="3"/>
    </row>
    <row r="55" spans="1:24" x14ac:dyDescent="0.2">
      <c r="A55" s="3"/>
      <c r="B55" s="3"/>
      <c r="C55" s="3"/>
      <c r="E55" s="3"/>
      <c r="F55" s="3"/>
      <c r="G55" s="3"/>
      <c r="H55" s="3"/>
      <c r="J55" s="3"/>
      <c r="L55" s="3"/>
      <c r="M55" s="3"/>
      <c r="Q55" s="3"/>
      <c r="X55" s="3"/>
    </row>
    <row r="56" spans="1:24" x14ac:dyDescent="0.2">
      <c r="A56" s="3"/>
      <c r="B56" s="3"/>
      <c r="C56" s="3"/>
      <c r="E56" s="3"/>
      <c r="F56" s="3"/>
      <c r="G56" s="3"/>
      <c r="H56" s="3"/>
      <c r="J56" s="3"/>
      <c r="L56" s="3"/>
      <c r="M56" s="3"/>
      <c r="Q56" s="3"/>
      <c r="X56" s="3"/>
    </row>
    <row r="57" spans="1:24" x14ac:dyDescent="0.2">
      <c r="A57" s="3"/>
      <c r="B57" s="3"/>
      <c r="C57" s="3"/>
      <c r="E57" s="3"/>
      <c r="F57" s="3"/>
      <c r="G57" s="3"/>
      <c r="H57" s="3"/>
      <c r="J57" s="3"/>
      <c r="L57" s="3"/>
      <c r="M57" s="3"/>
      <c r="Q57" s="3"/>
      <c r="X57" s="3"/>
    </row>
    <row r="58" spans="1:24" x14ac:dyDescent="0.2">
      <c r="A58" s="3"/>
      <c r="B58" s="3"/>
      <c r="C58" s="3"/>
      <c r="E58" s="3"/>
      <c r="F58" s="3"/>
      <c r="G58" s="3"/>
      <c r="H58" s="3"/>
      <c r="J58" s="3"/>
      <c r="L58" s="3"/>
      <c r="M58" s="3"/>
      <c r="Q58" s="3"/>
      <c r="X58" s="3"/>
    </row>
    <row r="59" spans="1:24" x14ac:dyDescent="0.2">
      <c r="A59" s="3"/>
      <c r="B59" s="3"/>
      <c r="C59" s="3"/>
      <c r="E59" s="3"/>
      <c r="F59" s="3"/>
      <c r="G59" s="3"/>
      <c r="H59" s="3"/>
      <c r="J59" s="3"/>
      <c r="L59" s="3"/>
      <c r="M59" s="3"/>
      <c r="Q59" s="3"/>
      <c r="X59" s="3"/>
    </row>
    <row r="60" spans="1:24" x14ac:dyDescent="0.2">
      <c r="A60" s="3"/>
      <c r="B60" s="3"/>
      <c r="C60" s="3"/>
      <c r="E60" s="3"/>
      <c r="F60" s="3"/>
      <c r="G60" s="3"/>
      <c r="H60" s="3"/>
      <c r="J60" s="3"/>
      <c r="L60" s="3"/>
      <c r="M60" s="3"/>
      <c r="Q60" s="3"/>
      <c r="X60" s="3"/>
    </row>
    <row r="61" spans="1:24" x14ac:dyDescent="0.2">
      <c r="A61" s="3"/>
      <c r="B61" s="3"/>
      <c r="C61" s="3"/>
      <c r="E61" s="3"/>
      <c r="F61" s="3"/>
      <c r="G61" s="3"/>
      <c r="H61" s="3"/>
      <c r="J61" s="3"/>
      <c r="L61" s="3"/>
      <c r="M61" s="3"/>
      <c r="Q61" s="3"/>
      <c r="X61" s="3"/>
    </row>
    <row r="62" spans="1:24" x14ac:dyDescent="0.2">
      <c r="A62" s="3"/>
      <c r="B62" s="3"/>
      <c r="C62" s="3"/>
      <c r="E62" s="3"/>
      <c r="F62" s="3"/>
      <c r="G62" s="3"/>
      <c r="H62" s="3"/>
      <c r="J62" s="3"/>
      <c r="L62" s="3"/>
      <c r="M62" s="3"/>
      <c r="Q62" s="3"/>
      <c r="X62" s="3"/>
    </row>
    <row r="63" spans="1:24" x14ac:dyDescent="0.2">
      <c r="A63" s="3"/>
      <c r="B63" s="3"/>
      <c r="C63" s="3"/>
      <c r="E63" s="3"/>
      <c r="F63" s="3"/>
      <c r="G63" s="3"/>
      <c r="H63" s="3"/>
      <c r="J63" s="3"/>
      <c r="L63" s="3"/>
      <c r="M63" s="3"/>
      <c r="Q63" s="3"/>
      <c r="X63" s="3"/>
    </row>
    <row r="64" spans="1:24" x14ac:dyDescent="0.2">
      <c r="A64" s="3"/>
      <c r="B64" s="3"/>
      <c r="C64" s="3"/>
      <c r="E64" s="3"/>
      <c r="F64" s="3"/>
      <c r="G64" s="3"/>
      <c r="H64" s="3"/>
      <c r="J64" s="3"/>
      <c r="L64" s="3"/>
      <c r="M64" s="3"/>
      <c r="Q64" s="3"/>
      <c r="X64" s="3"/>
    </row>
    <row r="65" spans="1:24" x14ac:dyDescent="0.2">
      <c r="A65" s="3"/>
      <c r="B65" s="3"/>
      <c r="C65" s="3"/>
      <c r="E65" s="3"/>
      <c r="F65" s="3"/>
      <c r="G65" s="3"/>
      <c r="H65" s="3"/>
      <c r="J65" s="3"/>
      <c r="L65" s="3"/>
      <c r="M65" s="3"/>
      <c r="Q65" s="3"/>
      <c r="X65" s="3"/>
    </row>
    <row r="66" spans="1:24" x14ac:dyDescent="0.2">
      <c r="A66" s="3"/>
      <c r="B66" s="3"/>
      <c r="C66" s="3"/>
      <c r="E66" s="3"/>
      <c r="F66" s="3"/>
      <c r="G66" s="3"/>
      <c r="H66" s="3"/>
      <c r="J66" s="3"/>
      <c r="L66" s="3"/>
      <c r="M66" s="3"/>
      <c r="Q66" s="3"/>
      <c r="X66" s="3"/>
    </row>
    <row r="67" spans="1:24" x14ac:dyDescent="0.2">
      <c r="A67" s="3"/>
      <c r="B67" s="3"/>
      <c r="C67" s="3"/>
      <c r="E67" s="3"/>
      <c r="F67" s="3"/>
      <c r="G67" s="3"/>
      <c r="H67" s="3"/>
      <c r="J67" s="3"/>
      <c r="L67" s="3"/>
      <c r="M67" s="3"/>
      <c r="Q67" s="3"/>
      <c r="X67" s="3"/>
    </row>
    <row r="68" spans="1:24" x14ac:dyDescent="0.2">
      <c r="A68" s="3"/>
      <c r="B68" s="3"/>
      <c r="C68" s="3"/>
      <c r="E68" s="3"/>
      <c r="F68" s="3"/>
      <c r="G68" s="3"/>
      <c r="H68" s="3"/>
      <c r="J68" s="3"/>
      <c r="L68" s="3"/>
      <c r="M68" s="3"/>
      <c r="Q68" s="3"/>
      <c r="X68" s="3"/>
    </row>
    <row r="69" spans="1:24" x14ac:dyDescent="0.2">
      <c r="A69" s="3"/>
      <c r="B69" s="3"/>
      <c r="C69" s="3"/>
      <c r="E69" s="3"/>
      <c r="F69" s="3"/>
      <c r="G69" s="3"/>
      <c r="H69" s="3"/>
      <c r="J69" s="3"/>
      <c r="L69" s="3"/>
      <c r="M69" s="3"/>
      <c r="Q69" s="3"/>
      <c r="X69" s="3"/>
    </row>
    <row r="70" spans="1:24" x14ac:dyDescent="0.2">
      <c r="A70" s="3"/>
      <c r="B70" s="3"/>
      <c r="C70" s="3"/>
      <c r="E70" s="3"/>
      <c r="F70" s="3"/>
      <c r="G70" s="3"/>
      <c r="H70" s="3"/>
      <c r="J70" s="3"/>
      <c r="L70" s="3"/>
      <c r="M70" s="3"/>
      <c r="Q70" s="3"/>
      <c r="X70" s="3"/>
    </row>
    <row r="71" spans="1:24" x14ac:dyDescent="0.2">
      <c r="A71" s="3"/>
      <c r="B71" s="3"/>
      <c r="C71" s="3"/>
      <c r="E71" s="3"/>
      <c r="F71" s="3"/>
      <c r="G71" s="3"/>
      <c r="H71" s="3"/>
      <c r="J71" s="3"/>
      <c r="L71" s="3"/>
      <c r="M71" s="3"/>
      <c r="Q71" s="3"/>
      <c r="X71" s="3"/>
    </row>
    <row r="72" spans="1:24" x14ac:dyDescent="0.2">
      <c r="A72" s="3"/>
      <c r="B72" s="3"/>
      <c r="C72" s="3"/>
      <c r="E72" s="3"/>
      <c r="F72" s="3"/>
      <c r="G72" s="3"/>
      <c r="H72" s="3"/>
      <c r="J72" s="3"/>
      <c r="L72" s="3"/>
      <c r="M72" s="3"/>
      <c r="Q72" s="3"/>
      <c r="X72" s="3"/>
    </row>
    <row r="73" spans="1:24" x14ac:dyDescent="0.2">
      <c r="A73" s="3"/>
      <c r="B73" s="3"/>
      <c r="C73" s="3"/>
      <c r="E73" s="3"/>
      <c r="F73" s="3"/>
      <c r="G73" s="3"/>
      <c r="H73" s="3"/>
      <c r="J73" s="3"/>
      <c r="L73" s="3"/>
      <c r="M73" s="3"/>
      <c r="Q73" s="3"/>
      <c r="X73" s="3"/>
    </row>
    <row r="74" spans="1:24" x14ac:dyDescent="0.2">
      <c r="A74" s="3"/>
      <c r="B74" s="3"/>
      <c r="C74" s="3"/>
      <c r="E74" s="3"/>
      <c r="F74" s="3"/>
      <c r="G74" s="3"/>
      <c r="H74" s="3"/>
      <c r="J74" s="3"/>
      <c r="L74" s="3"/>
      <c r="M74" s="3"/>
      <c r="Q74" s="3"/>
      <c r="X74" s="3"/>
    </row>
    <row r="75" spans="1:24" x14ac:dyDescent="0.2">
      <c r="A75" s="3"/>
      <c r="B75" s="3"/>
      <c r="C75" s="3"/>
      <c r="E75" s="3"/>
      <c r="F75" s="3"/>
      <c r="G75" s="3"/>
      <c r="H75" s="3"/>
      <c r="J75" s="3"/>
      <c r="L75" s="3"/>
      <c r="M75" s="3"/>
      <c r="Q75" s="3"/>
      <c r="X75" s="3"/>
    </row>
    <row r="76" spans="1:24" x14ac:dyDescent="0.2">
      <c r="A76" s="3"/>
      <c r="B76" s="3"/>
      <c r="C76" s="3"/>
      <c r="E76" s="3"/>
      <c r="F76" s="3"/>
      <c r="G76" s="3"/>
      <c r="H76" s="3"/>
      <c r="J76" s="3"/>
      <c r="L76" s="3"/>
      <c r="M76" s="3"/>
      <c r="Q76" s="3"/>
      <c r="X76" s="3"/>
    </row>
    <row r="77" spans="1:24" x14ac:dyDescent="0.2">
      <c r="A77" s="3"/>
      <c r="B77" s="3"/>
      <c r="C77" s="3"/>
      <c r="E77" s="3"/>
      <c r="F77" s="3"/>
      <c r="G77" s="3"/>
      <c r="H77" s="3"/>
      <c r="J77" s="3"/>
      <c r="L77" s="3"/>
      <c r="M77" s="3"/>
      <c r="Q77" s="3"/>
      <c r="X77" s="3"/>
    </row>
    <row r="78" spans="1:24" x14ac:dyDescent="0.2">
      <c r="A78" s="3"/>
      <c r="B78" s="3"/>
      <c r="C78" s="3"/>
      <c r="E78" s="3"/>
      <c r="F78" s="3"/>
      <c r="G78" s="3"/>
      <c r="H78" s="3"/>
      <c r="J78" s="3"/>
      <c r="L78" s="3"/>
      <c r="M78" s="3"/>
      <c r="Q78" s="3"/>
      <c r="X78" s="3"/>
    </row>
    <row r="79" spans="1:24" x14ac:dyDescent="0.2">
      <c r="A79" s="3"/>
      <c r="B79" s="3"/>
      <c r="C79" s="3"/>
      <c r="E79" s="3"/>
      <c r="F79" s="3"/>
      <c r="G79" s="3"/>
      <c r="H79" s="3"/>
      <c r="J79" s="3"/>
      <c r="L79" s="3"/>
      <c r="M79" s="3"/>
      <c r="Q79" s="3"/>
      <c r="X79" s="3"/>
    </row>
    <row r="80" spans="1:24" x14ac:dyDescent="0.2">
      <c r="A80" s="3"/>
      <c r="B80" s="3"/>
      <c r="C80" s="3"/>
      <c r="E80" s="3"/>
      <c r="F80" s="3"/>
      <c r="G80" s="3"/>
      <c r="H80" s="3"/>
      <c r="J80" s="3"/>
      <c r="L80" s="3"/>
      <c r="M80" s="3"/>
      <c r="Q80" s="3"/>
      <c r="X80" s="3"/>
    </row>
    <row r="81" spans="1:24" x14ac:dyDescent="0.2">
      <c r="A81" s="3"/>
      <c r="B81" s="3"/>
      <c r="C81" s="3"/>
      <c r="E81" s="3"/>
      <c r="F81" s="3"/>
      <c r="G81" s="3"/>
      <c r="H81" s="3"/>
      <c r="J81" s="3"/>
      <c r="L81" s="3"/>
      <c r="M81" s="3"/>
      <c r="Q81" s="3"/>
      <c r="X81" s="3"/>
    </row>
    <row r="82" spans="1:24" x14ac:dyDescent="0.2">
      <c r="A82" s="3"/>
      <c r="B82" s="3"/>
      <c r="C82" s="3"/>
      <c r="E82" s="3"/>
      <c r="F82" s="3"/>
      <c r="G82" s="3"/>
      <c r="H82" s="3"/>
      <c r="J82" s="3"/>
      <c r="L82" s="3"/>
      <c r="M82" s="3"/>
      <c r="Q82" s="3"/>
      <c r="X82" s="3"/>
    </row>
    <row r="83" spans="1:24" x14ac:dyDescent="0.2">
      <c r="A83" s="3"/>
      <c r="B83" s="3"/>
      <c r="C83" s="3"/>
      <c r="E83" s="3"/>
      <c r="F83" s="3"/>
      <c r="G83" s="3"/>
      <c r="H83" s="3"/>
      <c r="J83" s="3"/>
      <c r="L83" s="3"/>
      <c r="M83" s="3"/>
      <c r="Q83" s="3"/>
      <c r="X83" s="3"/>
    </row>
    <row r="84" spans="1:24" x14ac:dyDescent="0.2">
      <c r="A84" s="3"/>
      <c r="B84" s="3"/>
      <c r="C84" s="3"/>
      <c r="E84" s="3"/>
      <c r="F84" s="3"/>
      <c r="G84" s="3"/>
      <c r="H84" s="3"/>
      <c r="J84" s="3"/>
      <c r="L84" s="3"/>
      <c r="M84" s="3"/>
      <c r="Q84" s="3"/>
      <c r="X84" s="3"/>
    </row>
    <row r="85" spans="1:24" x14ac:dyDescent="0.2">
      <c r="A85" s="3"/>
      <c r="B85" s="3"/>
      <c r="C85" s="3"/>
      <c r="E85" s="3"/>
      <c r="F85" s="3"/>
      <c r="G85" s="3"/>
      <c r="H85" s="3"/>
      <c r="J85" s="3"/>
      <c r="L85" s="3"/>
      <c r="M85" s="3"/>
      <c r="Q85" s="3"/>
      <c r="X85" s="3"/>
    </row>
    <row r="86" spans="1:24" x14ac:dyDescent="0.2">
      <c r="A86" s="3"/>
      <c r="B86" s="3"/>
      <c r="C86" s="3"/>
      <c r="E86" s="3"/>
      <c r="F86" s="3"/>
      <c r="G86" s="3"/>
      <c r="H86" s="3"/>
      <c r="J86" s="3"/>
      <c r="L86" s="3"/>
      <c r="M86" s="3"/>
      <c r="Q86" s="3"/>
      <c r="X86" s="3"/>
    </row>
    <row r="87" spans="1:24" x14ac:dyDescent="0.2">
      <c r="A87" s="3"/>
      <c r="B87" s="3"/>
      <c r="C87" s="3"/>
      <c r="E87" s="3"/>
      <c r="F87" s="3"/>
      <c r="G87" s="3"/>
      <c r="H87" s="3"/>
      <c r="J87" s="3"/>
      <c r="L87" s="3"/>
      <c r="M87" s="3"/>
      <c r="Q87" s="3"/>
      <c r="X87" s="3"/>
    </row>
    <row r="88" spans="1:24" x14ac:dyDescent="0.2">
      <c r="A88" s="3"/>
      <c r="B88" s="3"/>
      <c r="C88" s="3"/>
      <c r="E88" s="3"/>
      <c r="F88" s="3"/>
      <c r="G88" s="3"/>
      <c r="H88" s="3"/>
      <c r="J88" s="3"/>
      <c r="L88" s="3"/>
      <c r="M88" s="3"/>
      <c r="Q88" s="3"/>
      <c r="X88" s="3"/>
    </row>
    <row r="89" spans="1:24" x14ac:dyDescent="0.2">
      <c r="A89" s="3"/>
      <c r="B89" s="3"/>
      <c r="C89" s="3"/>
      <c r="E89" s="3"/>
      <c r="F89" s="3"/>
      <c r="G89" s="3"/>
      <c r="H89" s="3"/>
      <c r="J89" s="3"/>
      <c r="L89" s="3"/>
      <c r="M89" s="3"/>
      <c r="Q89" s="3"/>
      <c r="X89" s="3"/>
    </row>
    <row r="90" spans="1:24" x14ac:dyDescent="0.2">
      <c r="A90" s="3"/>
      <c r="B90" s="3"/>
      <c r="C90" s="3"/>
      <c r="E90" s="3"/>
      <c r="F90" s="3"/>
      <c r="G90" s="3"/>
      <c r="H90" s="3"/>
      <c r="J90" s="3"/>
      <c r="L90" s="3"/>
      <c r="M90" s="3"/>
      <c r="Q90" s="3"/>
      <c r="X90" s="3"/>
    </row>
    <row r="91" spans="1:24" x14ac:dyDescent="0.2">
      <c r="A91" s="3"/>
      <c r="B91" s="3"/>
      <c r="C91" s="3"/>
      <c r="E91" s="3"/>
      <c r="F91" s="3"/>
      <c r="G91" s="3"/>
      <c r="H91" s="3"/>
      <c r="J91" s="3"/>
      <c r="L91" s="3"/>
      <c r="M91" s="3"/>
      <c r="Q91" s="3"/>
      <c r="X91" s="3"/>
    </row>
    <row r="92" spans="1:24" x14ac:dyDescent="0.2">
      <c r="A92" s="3"/>
      <c r="B92" s="3"/>
      <c r="C92" s="3"/>
      <c r="E92" s="3"/>
      <c r="F92" s="3"/>
      <c r="G92" s="3"/>
      <c r="H92" s="3"/>
      <c r="J92" s="3"/>
      <c r="L92" s="3"/>
      <c r="M92" s="3"/>
      <c r="Q92" s="3"/>
      <c r="X92" s="3"/>
    </row>
    <row r="93" spans="1:24" x14ac:dyDescent="0.2">
      <c r="A93" s="3"/>
      <c r="B93" s="3"/>
      <c r="C93" s="3"/>
      <c r="E93" s="3"/>
      <c r="F93" s="3"/>
      <c r="G93" s="3"/>
      <c r="H93" s="3"/>
      <c r="J93" s="3"/>
      <c r="L93" s="3"/>
      <c r="M93" s="3"/>
      <c r="Q93" s="3"/>
      <c r="X93" s="3"/>
    </row>
    <row r="94" spans="1:24" x14ac:dyDescent="0.2">
      <c r="A94" s="3"/>
      <c r="B94" s="3"/>
      <c r="C94" s="3"/>
      <c r="E94" s="3"/>
      <c r="F94" s="3"/>
      <c r="G94" s="3"/>
      <c r="H94" s="3"/>
      <c r="J94" s="3"/>
      <c r="L94" s="3"/>
      <c r="M94" s="3"/>
      <c r="Q94" s="3"/>
      <c r="X94" s="3"/>
    </row>
    <row r="95" spans="1:24" x14ac:dyDescent="0.2">
      <c r="A95" s="3"/>
      <c r="B95" s="3"/>
      <c r="C95" s="3"/>
      <c r="E95" s="3"/>
      <c r="F95" s="3"/>
      <c r="G95" s="3"/>
      <c r="H95" s="3"/>
      <c r="J95" s="3"/>
      <c r="L95" s="3"/>
      <c r="M95" s="3"/>
      <c r="Q95" s="3"/>
      <c r="X95" s="3"/>
    </row>
    <row r="96" spans="1:24" x14ac:dyDescent="0.2">
      <c r="A96" s="3"/>
      <c r="B96" s="3"/>
      <c r="C96" s="3"/>
      <c r="E96" s="3"/>
      <c r="F96" s="3"/>
      <c r="G96" s="3"/>
      <c r="H96" s="3"/>
      <c r="J96" s="3"/>
      <c r="L96" s="3"/>
      <c r="M96" s="3"/>
      <c r="Q96" s="3"/>
      <c r="X96" s="3"/>
    </row>
    <row r="97" spans="1:24" x14ac:dyDescent="0.2">
      <c r="A97" s="3"/>
      <c r="B97" s="3"/>
      <c r="C97" s="3"/>
      <c r="E97" s="3"/>
      <c r="F97" s="3"/>
      <c r="G97" s="3"/>
      <c r="H97" s="3"/>
      <c r="J97" s="3"/>
      <c r="L97" s="3"/>
      <c r="M97" s="3"/>
      <c r="Q97" s="3"/>
      <c r="X97" s="3"/>
    </row>
    <row r="98" spans="1:24" x14ac:dyDescent="0.2">
      <c r="A98" s="3"/>
      <c r="B98" s="3"/>
      <c r="C98" s="3"/>
      <c r="E98" s="3"/>
      <c r="F98" s="3"/>
      <c r="G98" s="3"/>
      <c r="H98" s="3"/>
      <c r="J98" s="3"/>
      <c r="L98" s="3"/>
      <c r="M98" s="3"/>
      <c r="Q98" s="3"/>
      <c r="X98" s="3"/>
    </row>
    <row r="99" spans="1:24" x14ac:dyDescent="0.2">
      <c r="A99" s="3"/>
      <c r="B99" s="3"/>
      <c r="C99" s="3"/>
      <c r="E99" s="3"/>
      <c r="F99" s="3"/>
      <c r="G99" s="3"/>
      <c r="H99" s="3"/>
      <c r="J99" s="3"/>
      <c r="L99" s="3"/>
      <c r="M99" s="3"/>
      <c r="Q99" s="3"/>
      <c r="X99" s="3"/>
    </row>
    <row r="100" spans="1:24" x14ac:dyDescent="0.2">
      <c r="A100" s="3"/>
      <c r="B100" s="3"/>
      <c r="C100" s="3"/>
      <c r="E100" s="3"/>
      <c r="F100" s="3"/>
      <c r="G100" s="3"/>
      <c r="H100" s="3"/>
      <c r="J100" s="3"/>
      <c r="L100" s="3"/>
      <c r="M100" s="3"/>
      <c r="Q100" s="3"/>
      <c r="X100" s="3"/>
    </row>
    <row r="101" spans="1:24" x14ac:dyDescent="0.2">
      <c r="A101" s="3"/>
      <c r="B101" s="3"/>
      <c r="C101" s="3"/>
      <c r="E101" s="3"/>
      <c r="F101" s="3"/>
      <c r="G101" s="3"/>
      <c r="H101" s="3"/>
      <c r="J101" s="3"/>
      <c r="L101" s="3"/>
      <c r="M101" s="3"/>
      <c r="Q101" s="3"/>
      <c r="X101" s="3"/>
    </row>
    <row r="102" spans="1:24" x14ac:dyDescent="0.2">
      <c r="A102" s="3"/>
      <c r="B102" s="3"/>
      <c r="C102" s="3"/>
      <c r="E102" s="3"/>
      <c r="F102" s="3"/>
      <c r="G102" s="3"/>
      <c r="H102" s="3"/>
      <c r="J102" s="3"/>
      <c r="L102" s="3"/>
      <c r="M102" s="3"/>
      <c r="Q102" s="3"/>
      <c r="X102" s="3"/>
    </row>
    <row r="103" spans="1:24" x14ac:dyDescent="0.2">
      <c r="A103" s="3"/>
      <c r="B103" s="3"/>
      <c r="C103" s="3"/>
      <c r="E103" s="3"/>
      <c r="F103" s="3"/>
      <c r="G103" s="3"/>
      <c r="H103" s="3"/>
      <c r="J103" s="3"/>
      <c r="L103" s="3"/>
      <c r="M103" s="3"/>
      <c r="Q103" s="3"/>
      <c r="X103" s="3"/>
    </row>
    <row r="104" spans="1:24" x14ac:dyDescent="0.2">
      <c r="A104" s="3"/>
      <c r="B104" s="3"/>
      <c r="C104" s="3"/>
      <c r="E104" s="3"/>
      <c r="F104" s="3"/>
      <c r="G104" s="3"/>
      <c r="H104" s="3"/>
      <c r="J104" s="3"/>
      <c r="L104" s="3"/>
      <c r="M104" s="3"/>
      <c r="Q104" s="3"/>
      <c r="X104" s="3"/>
    </row>
    <row r="105" spans="1:24" x14ac:dyDescent="0.2">
      <c r="A105" s="3"/>
      <c r="B105" s="3"/>
      <c r="C105" s="3"/>
      <c r="E105" s="3"/>
      <c r="F105" s="3"/>
      <c r="G105" s="3"/>
      <c r="H105" s="3"/>
      <c r="J105" s="3"/>
      <c r="L105" s="3"/>
      <c r="M105" s="3"/>
      <c r="Q105" s="3"/>
      <c r="X105" s="3"/>
    </row>
    <row r="106" spans="1:24" x14ac:dyDescent="0.2">
      <c r="A106" s="3"/>
      <c r="B106" s="3"/>
      <c r="C106" s="3"/>
      <c r="E106" s="3"/>
      <c r="F106" s="3"/>
      <c r="G106" s="3"/>
      <c r="H106" s="3"/>
      <c r="J106" s="3"/>
      <c r="L106" s="3"/>
      <c r="M106" s="3"/>
      <c r="Q106" s="3"/>
      <c r="X106" s="3"/>
    </row>
    <row r="107" spans="1:24" x14ac:dyDescent="0.2">
      <c r="A107" s="3"/>
      <c r="B107" s="3"/>
      <c r="C107" s="3"/>
      <c r="E107" s="3"/>
      <c r="F107" s="3"/>
      <c r="G107" s="3"/>
      <c r="H107" s="3"/>
      <c r="J107" s="3"/>
      <c r="L107" s="3"/>
      <c r="M107" s="3"/>
      <c r="Q107" s="3"/>
      <c r="X107" s="3"/>
    </row>
    <row r="108" spans="1:24" x14ac:dyDescent="0.2">
      <c r="A108" s="3"/>
      <c r="B108" s="3"/>
      <c r="C108" s="3"/>
      <c r="E108" s="3"/>
      <c r="F108" s="3"/>
      <c r="G108" s="3"/>
      <c r="H108" s="3"/>
      <c r="J108" s="3"/>
      <c r="L108" s="3"/>
      <c r="M108" s="3"/>
      <c r="Q108" s="3"/>
      <c r="X108" s="3"/>
    </row>
    <row r="109" spans="1:24" x14ac:dyDescent="0.2">
      <c r="A109" s="3"/>
      <c r="B109" s="3"/>
      <c r="C109" s="3"/>
      <c r="E109" s="3"/>
      <c r="F109" s="3"/>
      <c r="G109" s="3"/>
      <c r="H109" s="3"/>
      <c r="J109" s="3"/>
      <c r="L109" s="3"/>
      <c r="M109" s="3"/>
      <c r="Q109" s="3"/>
      <c r="X109" s="3"/>
    </row>
    <row r="110" spans="1:24" x14ac:dyDescent="0.2">
      <c r="A110" s="3"/>
      <c r="B110" s="3"/>
      <c r="C110" s="3"/>
      <c r="E110" s="3"/>
      <c r="F110" s="3"/>
      <c r="G110" s="3"/>
      <c r="H110" s="3"/>
      <c r="J110" s="3"/>
      <c r="L110" s="3"/>
      <c r="M110" s="3"/>
      <c r="Q110" s="3"/>
      <c r="X110" s="3"/>
    </row>
    <row r="111" spans="1:24" x14ac:dyDescent="0.2">
      <c r="A111" s="3"/>
      <c r="B111" s="3"/>
      <c r="C111" s="3"/>
      <c r="E111" s="3"/>
      <c r="F111" s="3"/>
      <c r="G111" s="3"/>
      <c r="H111" s="3"/>
      <c r="J111" s="3"/>
      <c r="L111" s="3"/>
      <c r="M111" s="3"/>
      <c r="Q111" s="3"/>
      <c r="X111" s="3"/>
    </row>
    <row r="112" spans="1:24" x14ac:dyDescent="0.2">
      <c r="A112" s="3"/>
      <c r="B112" s="3"/>
      <c r="C112" s="3"/>
      <c r="E112" s="3"/>
      <c r="F112" s="3"/>
      <c r="G112" s="3"/>
      <c r="H112" s="3"/>
      <c r="J112" s="3"/>
      <c r="L112" s="3"/>
      <c r="M112" s="3"/>
      <c r="Q112" s="3"/>
      <c r="X112" s="3"/>
    </row>
    <row r="113" spans="1:24" x14ac:dyDescent="0.2">
      <c r="A113" s="3"/>
      <c r="B113" s="3"/>
      <c r="C113" s="3"/>
      <c r="E113" s="3"/>
      <c r="F113" s="3"/>
      <c r="G113" s="3"/>
      <c r="H113" s="3"/>
      <c r="J113" s="3"/>
      <c r="L113" s="3"/>
      <c r="M113" s="3"/>
      <c r="Q113" s="3"/>
      <c r="X113" s="3"/>
    </row>
    <row r="114" spans="1:24" x14ac:dyDescent="0.2">
      <c r="A114" s="3"/>
      <c r="B114" s="3"/>
      <c r="C114" s="3"/>
      <c r="E114" s="3"/>
      <c r="F114" s="3"/>
      <c r="G114" s="3"/>
      <c r="H114" s="3"/>
      <c r="J114" s="3"/>
      <c r="L114" s="3"/>
      <c r="M114" s="3"/>
      <c r="Q114" s="3"/>
      <c r="X114" s="3"/>
    </row>
    <row r="115" spans="1:24" x14ac:dyDescent="0.2">
      <c r="A115" s="3"/>
      <c r="B115" s="3"/>
      <c r="C115" s="3"/>
      <c r="E115" s="3"/>
      <c r="F115" s="3"/>
      <c r="G115" s="3"/>
      <c r="H115" s="3"/>
      <c r="J115" s="3"/>
      <c r="L115" s="3"/>
      <c r="M115" s="3"/>
      <c r="Q115" s="3"/>
      <c r="X115" s="3"/>
    </row>
    <row r="116" spans="1:24" x14ac:dyDescent="0.2">
      <c r="A116" s="3"/>
      <c r="B116" s="3"/>
      <c r="C116" s="3"/>
      <c r="E116" s="3"/>
      <c r="F116" s="3"/>
      <c r="G116" s="3"/>
      <c r="H116" s="3"/>
      <c r="J116" s="3"/>
      <c r="L116" s="3"/>
      <c r="M116" s="3"/>
      <c r="Q116" s="3"/>
      <c r="X116" s="3"/>
    </row>
    <row r="117" spans="1:24" x14ac:dyDescent="0.2">
      <c r="A117" s="3"/>
      <c r="B117" s="3"/>
      <c r="C117" s="3"/>
      <c r="E117" s="3"/>
      <c r="F117" s="3"/>
      <c r="G117" s="3"/>
      <c r="H117" s="3"/>
      <c r="J117" s="3"/>
      <c r="L117" s="3"/>
      <c r="M117" s="3"/>
      <c r="Q117" s="3"/>
      <c r="X117" s="3"/>
    </row>
    <row r="118" spans="1:24" x14ac:dyDescent="0.2">
      <c r="A118" s="3"/>
      <c r="B118" s="3"/>
      <c r="C118" s="3"/>
      <c r="E118" s="3"/>
      <c r="F118" s="3"/>
      <c r="G118" s="3"/>
      <c r="H118" s="3"/>
      <c r="J118" s="3"/>
      <c r="L118" s="3"/>
      <c r="M118" s="3"/>
      <c r="Q118" s="3"/>
      <c r="X118" s="3"/>
    </row>
    <row r="119" spans="1:24" x14ac:dyDescent="0.2">
      <c r="A119" s="3"/>
      <c r="B119" s="3"/>
      <c r="C119" s="3"/>
      <c r="E119" s="3"/>
      <c r="F119" s="3"/>
      <c r="G119" s="3"/>
      <c r="H119" s="3"/>
      <c r="J119" s="3"/>
      <c r="L119" s="3"/>
      <c r="M119" s="3"/>
      <c r="Q119" s="3"/>
      <c r="X119" s="3"/>
    </row>
    <row r="120" spans="1:24" x14ac:dyDescent="0.2">
      <c r="A120" s="3"/>
      <c r="B120" s="3"/>
      <c r="C120" s="3"/>
      <c r="E120" s="3"/>
      <c r="F120" s="3"/>
      <c r="G120" s="3"/>
      <c r="H120" s="3"/>
      <c r="J120" s="3"/>
      <c r="L120" s="3"/>
      <c r="M120" s="3"/>
      <c r="Q120" s="3"/>
      <c r="X120" s="3"/>
    </row>
    <row r="121" spans="1:24" x14ac:dyDescent="0.2">
      <c r="A121" s="3"/>
      <c r="B121" s="3"/>
      <c r="C121" s="3"/>
      <c r="E121" s="3"/>
      <c r="F121" s="3"/>
      <c r="G121" s="3"/>
      <c r="H121" s="3"/>
      <c r="J121" s="3"/>
      <c r="L121" s="3"/>
      <c r="M121" s="3"/>
      <c r="Q121" s="3"/>
      <c r="X121" s="3"/>
    </row>
    <row r="122" spans="1:24" x14ac:dyDescent="0.2">
      <c r="A122" s="3"/>
      <c r="B122" s="3"/>
      <c r="C122" s="3"/>
      <c r="E122" s="3"/>
      <c r="F122" s="3"/>
      <c r="G122" s="3"/>
      <c r="H122" s="3"/>
      <c r="J122" s="3"/>
      <c r="L122" s="3"/>
      <c r="M122" s="3"/>
      <c r="Q122" s="3"/>
      <c r="X122" s="3"/>
    </row>
    <row r="123" spans="1:24" x14ac:dyDescent="0.2">
      <c r="A123" s="3"/>
      <c r="B123" s="3"/>
      <c r="C123" s="3"/>
      <c r="E123" s="3"/>
      <c r="F123" s="3"/>
      <c r="G123" s="3"/>
      <c r="H123" s="3"/>
      <c r="J123" s="3"/>
      <c r="L123" s="3"/>
      <c r="M123" s="3"/>
      <c r="Q123" s="3"/>
      <c r="X123" s="3"/>
    </row>
    <row r="124" spans="1:24" x14ac:dyDescent="0.2">
      <c r="A124" s="3"/>
      <c r="B124" s="3"/>
      <c r="C124" s="3"/>
      <c r="E124" s="3"/>
      <c r="F124" s="3"/>
      <c r="G124" s="3"/>
      <c r="H124" s="3"/>
      <c r="J124" s="3"/>
      <c r="L124" s="3"/>
      <c r="M124" s="3"/>
      <c r="Q124" s="3"/>
      <c r="X124" s="3"/>
    </row>
    <row r="125" spans="1:24" x14ac:dyDescent="0.2">
      <c r="A125" s="3"/>
      <c r="B125" s="3"/>
      <c r="C125" s="3"/>
      <c r="E125" s="3"/>
      <c r="F125" s="3"/>
      <c r="G125" s="3"/>
      <c r="H125" s="3"/>
      <c r="J125" s="3"/>
      <c r="L125" s="3"/>
      <c r="M125" s="3"/>
      <c r="Q125" s="3"/>
      <c r="X125" s="3"/>
    </row>
    <row r="126" spans="1:24" x14ac:dyDescent="0.2">
      <c r="A126" s="3"/>
      <c r="B126" s="3"/>
      <c r="C126" s="3"/>
      <c r="E126" s="3"/>
      <c r="F126" s="3"/>
      <c r="G126" s="3"/>
      <c r="H126" s="3"/>
      <c r="J126" s="3"/>
      <c r="L126" s="3"/>
      <c r="M126" s="3"/>
      <c r="Q126" s="3"/>
      <c r="X126" s="3"/>
    </row>
    <row r="127" spans="1:24" x14ac:dyDescent="0.2">
      <c r="A127" s="3"/>
      <c r="B127" s="3"/>
      <c r="C127" s="3"/>
      <c r="E127" s="3"/>
      <c r="F127" s="3"/>
      <c r="G127" s="3"/>
      <c r="H127" s="3"/>
      <c r="J127" s="3"/>
      <c r="L127" s="3"/>
      <c r="M127" s="3"/>
      <c r="Q127" s="3"/>
      <c r="X127" s="3"/>
    </row>
    <row r="128" spans="1:24" x14ac:dyDescent="0.2">
      <c r="A128" s="3"/>
      <c r="B128" s="3"/>
      <c r="C128" s="3"/>
      <c r="E128" s="3"/>
      <c r="F128" s="3"/>
      <c r="G128" s="3"/>
      <c r="H128" s="3"/>
      <c r="J128" s="3"/>
      <c r="L128" s="3"/>
      <c r="M128" s="3"/>
      <c r="Q128" s="3"/>
      <c r="X128" s="3"/>
    </row>
  </sheetData>
  <mergeCells count="3">
    <mergeCell ref="E3:H3"/>
    <mergeCell ref="L3:O3"/>
    <mergeCell ref="S3:V3"/>
  </mergeCells>
  <pageMargins left="0.25" right="0.25" top="0.75" bottom="0.75" header="0.3" footer="0.3"/>
  <pageSetup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33</vt:i4>
      </vt:variant>
    </vt:vector>
  </HeadingPairs>
  <TitlesOfParts>
    <vt:vector size="65" baseType="lpstr">
      <vt:lpstr>Table of Contents</vt:lpstr>
      <vt:lpstr>Consolidated Summary Metrics</vt:lpstr>
      <vt:lpstr>Consolidated Revenue</vt:lpstr>
      <vt:lpstr>Consolidated Gross Profit</vt:lpstr>
      <vt:lpstr>Consolidated Constant Currency</vt:lpstr>
      <vt:lpstr>Cons Op &amp; EBITDA Margins</vt:lpstr>
      <vt:lpstr>Consolidated Operating Expenses</vt:lpstr>
      <vt:lpstr>Cons Other Expense, Tax &amp; NI</vt:lpstr>
      <vt:lpstr>Consolidated EPS &amp; DSO</vt:lpstr>
      <vt:lpstr>Consolidated Debt</vt:lpstr>
      <vt:lpstr>Consol Addl Info Apax Invest</vt:lpstr>
      <vt:lpstr>Consolidated Footnotes</vt:lpstr>
      <vt:lpstr>Suppl. Info Non-GAAP Measures</vt:lpstr>
      <vt:lpstr>CES Table of Contents</vt:lpstr>
      <vt:lpstr>CES Summary Metrics</vt:lpstr>
      <vt:lpstr>CES Revenue Metrics</vt:lpstr>
      <vt:lpstr>CES Constant Currency</vt:lpstr>
      <vt:lpstr>CES Cloud Metrics</vt:lpstr>
      <vt:lpstr>CES Gross Profit</vt:lpstr>
      <vt:lpstr>CES Operating Expenses</vt:lpstr>
      <vt:lpstr>CES Operating &amp; EBITDA Margins</vt:lpstr>
      <vt:lpstr>CES Footnotes</vt:lpstr>
      <vt:lpstr>CES Suppl. Info NG Measures</vt:lpstr>
      <vt:lpstr>CIS Table of Contents</vt:lpstr>
      <vt:lpstr>CIS Summary Metrics</vt:lpstr>
      <vt:lpstr>CIS Revenue Metrics</vt:lpstr>
      <vt:lpstr>CIS Constant Currency</vt:lpstr>
      <vt:lpstr>CIS Gross Profit</vt:lpstr>
      <vt:lpstr>CIS Operating Expenses</vt:lpstr>
      <vt:lpstr>CIS Operating &amp; EBITDA Margins</vt:lpstr>
      <vt:lpstr>CIS Footnotes</vt:lpstr>
      <vt:lpstr>CIS Suppl. Info NG Measures</vt:lpstr>
      <vt:lpstr>'CES Cloud Metrics'!Print_Area</vt:lpstr>
      <vt:lpstr>'CES Constant Currency'!Print_Area</vt:lpstr>
      <vt:lpstr>'CES Footnotes'!Print_Area</vt:lpstr>
      <vt:lpstr>'CES Gross Profit'!Print_Area</vt:lpstr>
      <vt:lpstr>'CES Operating &amp; EBITDA Margins'!Print_Area</vt:lpstr>
      <vt:lpstr>'CES Operating Expenses'!Print_Area</vt:lpstr>
      <vt:lpstr>'CES Revenue Metrics'!Print_Area</vt:lpstr>
      <vt:lpstr>'CES Summary Metrics'!Print_Area</vt:lpstr>
      <vt:lpstr>'CES Suppl. Info NG Measures'!Print_Area</vt:lpstr>
      <vt:lpstr>'CIS Constant Currency'!Print_Area</vt:lpstr>
      <vt:lpstr>'CIS Footnotes'!Print_Area</vt:lpstr>
      <vt:lpstr>'CIS Gross Profit'!Print_Area</vt:lpstr>
      <vt:lpstr>'CIS Operating &amp; EBITDA Margins'!Print_Area</vt:lpstr>
      <vt:lpstr>'CIS Operating Expenses'!Print_Area</vt:lpstr>
      <vt:lpstr>'CIS Revenue Metrics'!Print_Area</vt:lpstr>
      <vt:lpstr>'CIS Summary Metrics'!Print_Area</vt:lpstr>
      <vt:lpstr>'CIS Suppl. Info NG Measures'!Print_Area</vt:lpstr>
      <vt:lpstr>'Cons Op &amp; EBITDA Margins'!Print_Area</vt:lpstr>
      <vt:lpstr>'Cons Other Expense, Tax &amp; NI'!Print_Area</vt:lpstr>
      <vt:lpstr>'Consol Addl Info Apax Invest'!Print_Area</vt:lpstr>
      <vt:lpstr>'Consolidated Constant Currency'!Print_Area</vt:lpstr>
      <vt:lpstr>'Consolidated Debt'!Print_Area</vt:lpstr>
      <vt:lpstr>'Consolidated EPS &amp; DSO'!Print_Area</vt:lpstr>
      <vt:lpstr>'Consolidated Footnotes'!Print_Area</vt:lpstr>
      <vt:lpstr>'Consolidated Gross Profit'!Print_Area</vt:lpstr>
      <vt:lpstr>'Consolidated Operating Expenses'!Print_Area</vt:lpstr>
      <vt:lpstr>'Consolidated Revenue'!Print_Area</vt:lpstr>
      <vt:lpstr>'Consolidated Summary Metrics'!Print_Area</vt:lpstr>
      <vt:lpstr>'Suppl. Info Non-GAAP Measures'!Print_Area</vt:lpstr>
      <vt:lpstr>'Table of Contents'!Print_Area</vt:lpstr>
      <vt:lpstr>'CES Suppl. Info NG Measures'!Print_Titles</vt:lpstr>
      <vt:lpstr>'CIS Suppl. Info NG Measures'!Print_Titles</vt:lpstr>
      <vt:lpstr>'Suppl. Info Non-GAAP Measures'!Print_Titles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DeFalco, Danielle</dc:creator>
  <cp:lastModifiedBy>Frankel, Matthew</cp:lastModifiedBy>
  <cp:lastPrinted>2020-08-24T16:47:43Z</cp:lastPrinted>
  <dcterms:created xsi:type="dcterms:W3CDTF">2013-03-28T18:10:32Z</dcterms:created>
  <dcterms:modified xsi:type="dcterms:W3CDTF">2021-03-31T19:34:29Z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