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verint-my.sharepoint.com/personal/matthew_frankel_verint_com/Documents/Desktop/IR/Financial Dashboard/3Q FY23/"/>
    </mc:Choice>
  </mc:AlternateContent>
  <xr:revisionPtr revIDLastSave="8" documentId="8_{06D099F7-F79C-4F7C-8AAC-F3A24FA1D92F}" xr6:coauthVersionLast="47" xr6:coauthVersionMax="47" xr10:uidLastSave="{4DB17EBC-B90F-45DD-9F5C-50361C428BFB}"/>
  <bookViews>
    <workbookView xWindow="67080" yWindow="2430" windowWidth="29040" windowHeight="15840" xr2:uid="{0D4002E5-4B8A-4A75-A860-78F6C0111ACB}"/>
  </bookViews>
  <sheets>
    <sheet name="Table of Contents" sheetId="1" r:id="rId1"/>
    <sheet name="Summary Metrics" sheetId="2" r:id="rId2"/>
    <sheet name="Revenue Metrics" sheetId="3" r:id="rId3"/>
    <sheet name="Constant Currency" sheetId="4" r:id="rId4"/>
    <sheet name="Cloud Metrics" sheetId="5" r:id="rId5"/>
    <sheet name="Gross Profit" sheetId="6" r:id="rId6"/>
    <sheet name="Operating Expenses" sheetId="7" r:id="rId7"/>
    <sheet name="Operating Margins" sheetId="8" r:id="rId8"/>
    <sheet name="EBITDA Margins" sheetId="14" r:id="rId9"/>
    <sheet name="Other Expense, Tax &amp; NI" sheetId="11" r:id="rId10"/>
    <sheet name="EPS &amp; DSO" sheetId="12" r:id="rId11"/>
    <sheet name="Debt" sheetId="13" r:id="rId12"/>
    <sheet name="Footnotes" sheetId="9" r:id="rId13"/>
    <sheet name=" Suppl. Info NG Measures" sheetId="10" r:id="rId14"/>
  </sheets>
  <definedNames>
    <definedName name="CIQWBGuid" hidden="1">"VRNT Investor Relations Financial Appendices Workbook 10.31.19.xlsx"</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44767.7683796296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3">' Suppl. Info NG Measures'!$B$1:$B$50</definedName>
    <definedName name="_xlnm.Print_Area" localSheetId="4">'Cloud Metrics'!$A$1:$N$22</definedName>
    <definedName name="_xlnm.Print_Area" localSheetId="3">'Constant Currency'!$A$1:$N$21</definedName>
    <definedName name="_xlnm.Print_Area" localSheetId="11">Debt!$A$1:$E$17</definedName>
    <definedName name="_xlnm.Print_Area" localSheetId="8">'EBITDA Margins'!$A$1:$N$26</definedName>
    <definedName name="_xlnm.Print_Area" localSheetId="10">'EPS &amp; DSO'!$A$1:$N$15</definedName>
    <definedName name="_xlnm.Print_Area" localSheetId="12">Footnotes!$B$2:$D$13</definedName>
    <definedName name="_xlnm.Print_Area" localSheetId="5">'Gross Profit'!$A$1:$N$62</definedName>
    <definedName name="_xlnm.Print_Area" localSheetId="6">'Operating Expenses'!$A$1:$N$39</definedName>
    <definedName name="_xlnm.Print_Area" localSheetId="7">'Operating Margins'!$A$1:$N$25</definedName>
    <definedName name="_xlnm.Print_Area" localSheetId="9">'Other Expense, Tax &amp; NI'!$A$1:$N$27</definedName>
    <definedName name="_xlnm.Print_Area" localSheetId="2">'Revenue Metrics'!$A$1:$O$32</definedName>
    <definedName name="_xlnm.Print_Area" localSheetId="1">'Summary Metrics'!$A$1:$AL$63</definedName>
    <definedName name="_xlnm.Print_Titles" localSheetId="13">' Suppl. Info NG Measures'!$1:$1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3" l="1"/>
  <c r="C9" i="13"/>
  <c r="D9" i="13"/>
  <c r="E9" i="13"/>
  <c r="F9" i="13"/>
  <c r="G9" i="13"/>
  <c r="H9" i="13"/>
  <c r="I9" i="13"/>
  <c r="B15" i="13"/>
  <c r="C15" i="13"/>
  <c r="D15" i="13"/>
  <c r="E15" i="13"/>
  <c r="F15" i="13"/>
  <c r="G15" i="13"/>
  <c r="H15" i="13"/>
  <c r="I15" i="13"/>
  <c r="B11" i="12"/>
  <c r="C11" i="12"/>
  <c r="D11" i="12"/>
  <c r="E11" i="12"/>
  <c r="G11" i="12"/>
  <c r="I11" i="12"/>
  <c r="J11" i="12"/>
  <c r="K11" i="12"/>
  <c r="L11" i="12"/>
  <c r="N11" i="12"/>
  <c r="P11" i="12"/>
  <c r="Q11" i="12"/>
  <c r="R11" i="12"/>
  <c r="T11" i="12"/>
  <c r="G7" i="11"/>
  <c r="G14" i="11" s="1"/>
  <c r="N7" i="11"/>
  <c r="T7" i="11"/>
  <c r="G8" i="11"/>
  <c r="N8" i="11"/>
  <c r="T8" i="11"/>
  <c r="G9" i="11"/>
  <c r="N9" i="11"/>
  <c r="T9" i="11"/>
  <c r="G10" i="11"/>
  <c r="N10" i="11"/>
  <c r="T10" i="11"/>
  <c r="G11" i="11"/>
  <c r="N11" i="11"/>
  <c r="T11" i="11"/>
  <c r="G12" i="11"/>
  <c r="N12" i="11"/>
  <c r="T12" i="11"/>
  <c r="G13" i="11"/>
  <c r="N13" i="11"/>
  <c r="T13" i="11"/>
  <c r="B14" i="11"/>
  <c r="C14" i="11"/>
  <c r="D14" i="11"/>
  <c r="E14" i="11"/>
  <c r="I14" i="11"/>
  <c r="J14" i="11"/>
  <c r="K14" i="11"/>
  <c r="N14" i="11" s="1"/>
  <c r="L14" i="11"/>
  <c r="P14" i="11"/>
  <c r="T14" i="11" s="1"/>
  <c r="Q14" i="11"/>
  <c r="R14" i="11"/>
  <c r="G17" i="11"/>
  <c r="N17" i="11"/>
  <c r="T17" i="11"/>
  <c r="G19" i="11"/>
  <c r="N19" i="11"/>
  <c r="T19" i="11"/>
  <c r="B20" i="11"/>
  <c r="C20" i="11"/>
  <c r="D20" i="11"/>
  <c r="E20" i="11"/>
  <c r="G20" i="11"/>
  <c r="I20" i="11"/>
  <c r="N20" i="11" s="1"/>
  <c r="J20" i="11"/>
  <c r="K20" i="11"/>
  <c r="L20" i="11"/>
  <c r="P20" i="11"/>
  <c r="Q20" i="11"/>
  <c r="R20" i="11"/>
  <c r="G24" i="11"/>
  <c r="N24" i="11"/>
  <c r="N26" i="11" s="1"/>
  <c r="G25" i="11"/>
  <c r="B26" i="11"/>
  <c r="C26" i="11"/>
  <c r="D26" i="11"/>
  <c r="E26" i="11"/>
  <c r="I26" i="11"/>
  <c r="J26" i="11"/>
  <c r="K26" i="11"/>
  <c r="L26" i="11"/>
  <c r="P26" i="11"/>
  <c r="Q26" i="11"/>
  <c r="R26" i="11"/>
  <c r="T26" i="11"/>
  <c r="I69" i="11"/>
  <c r="J69" i="11"/>
  <c r="N69" i="11"/>
  <c r="P69" i="11"/>
  <c r="Q69" i="11"/>
  <c r="T69" i="11"/>
  <c r="I72" i="11"/>
  <c r="J72" i="11"/>
  <c r="N72" i="11"/>
  <c r="P72" i="11"/>
  <c r="Q72" i="11"/>
  <c r="T72" i="11"/>
  <c r="G6" i="14"/>
  <c r="N6" i="14"/>
  <c r="T6" i="14"/>
  <c r="J7" i="14"/>
  <c r="B9" i="14"/>
  <c r="G9" i="14" s="1"/>
  <c r="C9" i="14"/>
  <c r="I9" i="14"/>
  <c r="J9" i="14"/>
  <c r="K9" i="14"/>
  <c r="T9" i="14"/>
  <c r="B10" i="14"/>
  <c r="C10" i="14"/>
  <c r="I10" i="14"/>
  <c r="N10" i="14" s="1"/>
  <c r="J10" i="14"/>
  <c r="K10" i="14"/>
  <c r="T10" i="14"/>
  <c r="G11" i="14"/>
  <c r="N11" i="14"/>
  <c r="T11" i="14"/>
  <c r="B13" i="14"/>
  <c r="G13" i="14" s="1"/>
  <c r="C13" i="14"/>
  <c r="D13" i="14"/>
  <c r="E13" i="14"/>
  <c r="I13" i="14"/>
  <c r="J13" i="14"/>
  <c r="K13" i="14"/>
  <c r="L13" i="14"/>
  <c r="P13" i="14"/>
  <c r="T13" i="14" s="1"/>
  <c r="Q13" i="14"/>
  <c r="R13" i="14"/>
  <c r="B14" i="14"/>
  <c r="C14" i="14"/>
  <c r="G14" i="14" s="1"/>
  <c r="D14" i="14"/>
  <c r="E14" i="14"/>
  <c r="I14" i="14"/>
  <c r="J14" i="14"/>
  <c r="K14" i="14"/>
  <c r="L14" i="14"/>
  <c r="N14" i="14"/>
  <c r="P14" i="14"/>
  <c r="T14" i="14" s="1"/>
  <c r="Q14" i="14"/>
  <c r="R14" i="14"/>
  <c r="K17" i="14"/>
  <c r="K15" i="14" s="1"/>
  <c r="L17" i="14"/>
  <c r="L15" i="14" s="1"/>
  <c r="P15" i="14"/>
  <c r="T15" i="14" s="1"/>
  <c r="B16" i="14"/>
  <c r="G16" i="14" s="1"/>
  <c r="C16" i="14"/>
  <c r="D16" i="14"/>
  <c r="E16" i="14"/>
  <c r="N16" i="14"/>
  <c r="T16" i="14"/>
  <c r="B17" i="14"/>
  <c r="F17" i="14"/>
  <c r="I17" i="14"/>
  <c r="J17" i="14"/>
  <c r="P17" i="14"/>
  <c r="T17" i="14" s="1"/>
  <c r="Q17" i="14"/>
  <c r="R17" i="14"/>
  <c r="N18" i="14"/>
  <c r="T18" i="14"/>
  <c r="B19" i="14"/>
  <c r="G19" i="14" s="1"/>
  <c r="C19" i="14"/>
  <c r="D19" i="14"/>
  <c r="E19" i="14"/>
  <c r="I19" i="14"/>
  <c r="J19" i="14"/>
  <c r="K19" i="14"/>
  <c r="L19" i="14"/>
  <c r="P19" i="14"/>
  <c r="Q19" i="14"/>
  <c r="R19" i="14"/>
  <c r="B20" i="14"/>
  <c r="C20" i="14"/>
  <c r="G20" i="14" s="1"/>
  <c r="D20" i="14"/>
  <c r="E20" i="14"/>
  <c r="I20" i="14"/>
  <c r="N20" i="14"/>
  <c r="P20" i="14"/>
  <c r="Q20" i="14"/>
  <c r="G21" i="14"/>
  <c r="N21" i="14"/>
  <c r="G22" i="14"/>
  <c r="N22" i="14"/>
  <c r="G6" i="8"/>
  <c r="N6" i="8"/>
  <c r="T6" i="8"/>
  <c r="G10" i="8"/>
  <c r="N10" i="8"/>
  <c r="T10" i="8"/>
  <c r="G11" i="8"/>
  <c r="N11" i="8"/>
  <c r="T11" i="8"/>
  <c r="G12" i="8"/>
  <c r="N12" i="8"/>
  <c r="T12" i="8"/>
  <c r="G13" i="8"/>
  <c r="N13" i="8"/>
  <c r="T13" i="8"/>
  <c r="B16" i="8"/>
  <c r="B14" i="8"/>
  <c r="C16" i="8"/>
  <c r="D16" i="8"/>
  <c r="D17" i="14" s="1"/>
  <c r="E16" i="8"/>
  <c r="E14" i="8" s="1"/>
  <c r="E15" i="14" s="1"/>
  <c r="I14" i="8"/>
  <c r="J14" i="8"/>
  <c r="K14" i="8"/>
  <c r="K22" i="8" s="1"/>
  <c r="L14" i="8"/>
  <c r="L22" i="8" s="1"/>
  <c r="T14" i="8"/>
  <c r="G15" i="8"/>
  <c r="N15" i="8"/>
  <c r="T15" i="8"/>
  <c r="G16" i="8"/>
  <c r="N16" i="8"/>
  <c r="T16" i="8"/>
  <c r="N17" i="8"/>
  <c r="T17" i="8"/>
  <c r="G18" i="8"/>
  <c r="N18" i="8"/>
  <c r="T18" i="8"/>
  <c r="T19" i="14" s="1"/>
  <c r="G19" i="8"/>
  <c r="J19" i="8"/>
  <c r="J20" i="14" s="1"/>
  <c r="K19" i="8"/>
  <c r="K20" i="14" s="1"/>
  <c r="L19" i="8"/>
  <c r="L20" i="14" s="1"/>
  <c r="P19" i="8"/>
  <c r="Q19" i="8"/>
  <c r="R19" i="8"/>
  <c r="R20" i="14" s="1"/>
  <c r="G20" i="8"/>
  <c r="N20" i="8"/>
  <c r="G21" i="8"/>
  <c r="N21" i="8"/>
  <c r="G7" i="7"/>
  <c r="N7" i="7"/>
  <c r="T7" i="7"/>
  <c r="G10" i="7"/>
  <c r="N10" i="7"/>
  <c r="T10" i="7"/>
  <c r="G11" i="7"/>
  <c r="N11" i="7"/>
  <c r="T11" i="7"/>
  <c r="G12" i="7"/>
  <c r="L12" i="7"/>
  <c r="N12" i="7"/>
  <c r="T12" i="7"/>
  <c r="G13" i="7"/>
  <c r="N13" i="7"/>
  <c r="T13" i="7"/>
  <c r="G14" i="7"/>
  <c r="N14" i="7"/>
  <c r="T14" i="7"/>
  <c r="G15" i="7"/>
  <c r="N15" i="7"/>
  <c r="G16" i="7"/>
  <c r="N16" i="7"/>
  <c r="B17" i="7"/>
  <c r="G17" i="7" s="1"/>
  <c r="C17" i="7"/>
  <c r="D17" i="7"/>
  <c r="E17" i="7"/>
  <c r="I17" i="7"/>
  <c r="J17" i="7"/>
  <c r="K17" i="7"/>
  <c r="L17" i="7"/>
  <c r="P17" i="7"/>
  <c r="Q17" i="7"/>
  <c r="R17" i="7"/>
  <c r="T17" i="7"/>
  <c r="G22" i="7"/>
  <c r="N22" i="7"/>
  <c r="T22" i="7"/>
  <c r="G25" i="7"/>
  <c r="N25" i="7"/>
  <c r="T25" i="7"/>
  <c r="G26" i="7"/>
  <c r="N26" i="7"/>
  <c r="T26" i="7"/>
  <c r="B27" i="7"/>
  <c r="G27" i="7" s="1"/>
  <c r="D27" i="7"/>
  <c r="D35" i="7" s="1"/>
  <c r="E27" i="7"/>
  <c r="I27" i="7"/>
  <c r="J27" i="7"/>
  <c r="K27" i="7"/>
  <c r="L27" i="7"/>
  <c r="L35" i="7" s="1"/>
  <c r="T27" i="7"/>
  <c r="G28" i="7"/>
  <c r="N28" i="7"/>
  <c r="T28" i="7"/>
  <c r="G29" i="7"/>
  <c r="N29" i="7"/>
  <c r="T29" i="7"/>
  <c r="G30" i="7"/>
  <c r="N30" i="7"/>
  <c r="T30" i="7"/>
  <c r="G31" i="7"/>
  <c r="N31" i="7"/>
  <c r="T31" i="7"/>
  <c r="G32" i="7"/>
  <c r="J32" i="7"/>
  <c r="K32" i="7"/>
  <c r="L32" i="7"/>
  <c r="P32" i="7"/>
  <c r="P35" i="7" s="1"/>
  <c r="Q32" i="7"/>
  <c r="R32" i="7"/>
  <c r="T32" i="7"/>
  <c r="G33" i="7"/>
  <c r="N33" i="7"/>
  <c r="G34" i="7"/>
  <c r="N34" i="7"/>
  <c r="C35" i="7"/>
  <c r="E35" i="7"/>
  <c r="I35" i="7"/>
  <c r="Q35" i="7"/>
  <c r="R35" i="7"/>
  <c r="T35" i="7"/>
  <c r="AJ51" i="2" s="1"/>
  <c r="G9" i="6"/>
  <c r="N9" i="6"/>
  <c r="T9" i="6"/>
  <c r="G10" i="6"/>
  <c r="N10" i="6"/>
  <c r="T10" i="6"/>
  <c r="G11" i="6"/>
  <c r="N11" i="6"/>
  <c r="T11" i="6"/>
  <c r="B12" i="6"/>
  <c r="G12" i="6" s="1"/>
  <c r="C12" i="6"/>
  <c r="D12" i="6"/>
  <c r="E12" i="6"/>
  <c r="I12" i="6"/>
  <c r="J12" i="6"/>
  <c r="N12" i="6" s="1"/>
  <c r="K12" i="6"/>
  <c r="L12" i="6"/>
  <c r="P12" i="6"/>
  <c r="T12" i="6" s="1"/>
  <c r="Q12" i="6"/>
  <c r="R12" i="6"/>
  <c r="N16" i="6"/>
  <c r="T16" i="6"/>
  <c r="B17" i="6"/>
  <c r="C17" i="6"/>
  <c r="D17" i="6"/>
  <c r="E17" i="6"/>
  <c r="G17" i="6"/>
  <c r="N17" i="6"/>
  <c r="T17" i="6"/>
  <c r="G18" i="6"/>
  <c r="N18" i="6"/>
  <c r="T18" i="6"/>
  <c r="G19" i="6"/>
  <c r="N19" i="6"/>
  <c r="T19" i="6"/>
  <c r="G20" i="6"/>
  <c r="L20" i="6"/>
  <c r="N20" i="6" s="1"/>
  <c r="T20" i="6"/>
  <c r="G21" i="6"/>
  <c r="N21" i="6"/>
  <c r="T21" i="6"/>
  <c r="G22" i="6"/>
  <c r="N22" i="6"/>
  <c r="T22" i="6"/>
  <c r="G23" i="6"/>
  <c r="N23" i="6"/>
  <c r="T23" i="6"/>
  <c r="G24" i="6"/>
  <c r="N24" i="6"/>
  <c r="T24" i="6"/>
  <c r="B31" i="6"/>
  <c r="C31" i="6"/>
  <c r="D31" i="6"/>
  <c r="E31" i="6"/>
  <c r="G31" i="6"/>
  <c r="I31" i="6"/>
  <c r="N31" i="6" s="1"/>
  <c r="J31" i="6"/>
  <c r="K31" i="6"/>
  <c r="L31" i="6"/>
  <c r="P31" i="6"/>
  <c r="T31" i="6" s="1"/>
  <c r="Q31" i="6"/>
  <c r="R31" i="6"/>
  <c r="J32" i="6"/>
  <c r="N35" i="6"/>
  <c r="T35" i="6"/>
  <c r="G36" i="6"/>
  <c r="N36" i="6"/>
  <c r="T36" i="6"/>
  <c r="G37" i="6"/>
  <c r="N37" i="6"/>
  <c r="T37" i="6"/>
  <c r="G38" i="6"/>
  <c r="L38" i="6"/>
  <c r="N38" i="6"/>
  <c r="T38" i="6"/>
  <c r="B39" i="6"/>
  <c r="G39" i="6" s="1"/>
  <c r="N39" i="6"/>
  <c r="T39" i="6"/>
  <c r="G40" i="6"/>
  <c r="N40" i="6"/>
  <c r="T40" i="6"/>
  <c r="G41" i="6"/>
  <c r="N41" i="6"/>
  <c r="T41" i="6"/>
  <c r="G42" i="6"/>
  <c r="N42" i="6"/>
  <c r="T42" i="6"/>
  <c r="J48" i="6"/>
  <c r="J50" i="6" s="1"/>
  <c r="J61" i="6" s="1"/>
  <c r="J62" i="6" s="1"/>
  <c r="K48" i="6"/>
  <c r="K50" i="6" s="1"/>
  <c r="B49" i="6"/>
  <c r="C49" i="6"/>
  <c r="D49" i="6"/>
  <c r="E49" i="6"/>
  <c r="I49" i="6"/>
  <c r="J49" i="6"/>
  <c r="K49" i="6"/>
  <c r="L49" i="6"/>
  <c r="N49" i="6"/>
  <c r="P49" i="6"/>
  <c r="T49" i="6" s="1"/>
  <c r="Q49" i="6"/>
  <c r="R49" i="6"/>
  <c r="J51" i="6"/>
  <c r="G53" i="6"/>
  <c r="I53" i="6"/>
  <c r="N53" i="6" s="1"/>
  <c r="J53" i="6"/>
  <c r="K53" i="6"/>
  <c r="L53" i="6"/>
  <c r="P53" i="6"/>
  <c r="Q53" i="6"/>
  <c r="R53" i="6"/>
  <c r="G54" i="6"/>
  <c r="I54" i="6"/>
  <c r="J54" i="6"/>
  <c r="K54" i="6"/>
  <c r="L54" i="6"/>
  <c r="N54" i="6"/>
  <c r="P54" i="6"/>
  <c r="T54" i="6" s="1"/>
  <c r="Q54" i="6"/>
  <c r="R54" i="6"/>
  <c r="G55" i="6"/>
  <c r="I55" i="6"/>
  <c r="J55" i="6"/>
  <c r="K55" i="6"/>
  <c r="L55" i="6"/>
  <c r="P55" i="6"/>
  <c r="T55" i="6" s="1"/>
  <c r="Q55" i="6"/>
  <c r="R55" i="6"/>
  <c r="G56" i="6"/>
  <c r="I56" i="6"/>
  <c r="J56" i="6"/>
  <c r="K56" i="6"/>
  <c r="P56" i="6"/>
  <c r="Q56" i="6"/>
  <c r="R56" i="6"/>
  <c r="T56" i="6" s="1"/>
  <c r="G57" i="6"/>
  <c r="I57" i="6"/>
  <c r="N57" i="6" s="1"/>
  <c r="J57" i="6"/>
  <c r="K57" i="6"/>
  <c r="L57" i="6"/>
  <c r="P57" i="6"/>
  <c r="Q57" i="6"/>
  <c r="R57" i="6"/>
  <c r="G58" i="6"/>
  <c r="N58" i="6"/>
  <c r="T58" i="6"/>
  <c r="G59" i="6"/>
  <c r="I59" i="6"/>
  <c r="J59" i="6"/>
  <c r="K59" i="6"/>
  <c r="L59" i="6"/>
  <c r="P59" i="6"/>
  <c r="Q59" i="6"/>
  <c r="R59" i="6"/>
  <c r="T59" i="6"/>
  <c r="G60" i="6"/>
  <c r="I60" i="6"/>
  <c r="J60" i="6"/>
  <c r="K60" i="6"/>
  <c r="L60" i="6"/>
  <c r="P60" i="6"/>
  <c r="Q60" i="6"/>
  <c r="R60" i="6"/>
  <c r="T60" i="6"/>
  <c r="B8" i="5"/>
  <c r="B6" i="5"/>
  <c r="C6" i="5"/>
  <c r="C10" i="5" s="1"/>
  <c r="D6" i="5"/>
  <c r="D10" i="5" s="1"/>
  <c r="E6" i="5"/>
  <c r="E10" i="5" s="1"/>
  <c r="I6" i="5"/>
  <c r="J6" i="5"/>
  <c r="J10" i="5" s="1"/>
  <c r="K7" i="3" s="1"/>
  <c r="K6" i="3" s="1"/>
  <c r="J30" i="6" s="1"/>
  <c r="K6" i="5"/>
  <c r="L6" i="5"/>
  <c r="N6" i="5" s="1"/>
  <c r="P6" i="5"/>
  <c r="P10" i="5" s="1"/>
  <c r="Q6" i="5"/>
  <c r="Q10" i="5" s="1"/>
  <c r="R6" i="5"/>
  <c r="T7" i="5"/>
  <c r="T6" i="5" s="1"/>
  <c r="T10" i="5" s="1"/>
  <c r="T8" i="5"/>
  <c r="G7" i="5"/>
  <c r="N7" i="5"/>
  <c r="G8" i="5"/>
  <c r="N8" i="5"/>
  <c r="G9" i="5"/>
  <c r="N9" i="5"/>
  <c r="T9" i="5"/>
  <c r="I10" i="5"/>
  <c r="K10" i="5"/>
  <c r="R10" i="5"/>
  <c r="B18" i="5"/>
  <c r="C18" i="5"/>
  <c r="C12" i="5"/>
  <c r="C16" i="5" s="1"/>
  <c r="D18" i="5"/>
  <c r="D22" i="5" s="1"/>
  <c r="E23" i="3" s="1"/>
  <c r="D12" i="5"/>
  <c r="D16" i="5" s="1"/>
  <c r="E18" i="5"/>
  <c r="I18" i="5"/>
  <c r="I12" i="5" s="1"/>
  <c r="J18" i="5"/>
  <c r="J22" i="5" s="1"/>
  <c r="K18" i="5"/>
  <c r="K12" i="5"/>
  <c r="K16" i="5" s="1"/>
  <c r="L18" i="5"/>
  <c r="P18" i="5"/>
  <c r="Q18" i="5"/>
  <c r="Q22" i="5" s="1"/>
  <c r="R18" i="5"/>
  <c r="T19" i="5"/>
  <c r="T18" i="5" s="1"/>
  <c r="T20" i="5"/>
  <c r="T14" i="5" s="1"/>
  <c r="T12" i="5"/>
  <c r="T16" i="5" s="1"/>
  <c r="B13" i="5"/>
  <c r="G13" i="5" s="1"/>
  <c r="C13" i="5"/>
  <c r="D13" i="5"/>
  <c r="E13" i="5"/>
  <c r="I13" i="5"/>
  <c r="J13" i="5"/>
  <c r="K13" i="5"/>
  <c r="L13" i="5"/>
  <c r="N13" i="5"/>
  <c r="P13" i="5"/>
  <c r="Q13" i="5"/>
  <c r="R13" i="5"/>
  <c r="T13" i="5"/>
  <c r="B14" i="5"/>
  <c r="C14" i="5"/>
  <c r="D14" i="5"/>
  <c r="E14" i="5"/>
  <c r="I14" i="5"/>
  <c r="J14" i="5"/>
  <c r="K14" i="5"/>
  <c r="L14" i="5"/>
  <c r="N14" i="5"/>
  <c r="P14" i="5"/>
  <c r="Q14" i="5"/>
  <c r="R14" i="5"/>
  <c r="B15" i="5"/>
  <c r="C15" i="5"/>
  <c r="D15" i="5"/>
  <c r="E15" i="5"/>
  <c r="G15" i="5"/>
  <c r="I15" i="5"/>
  <c r="J15" i="5"/>
  <c r="K15" i="5"/>
  <c r="L15" i="5"/>
  <c r="P15" i="5"/>
  <c r="Q15" i="5"/>
  <c r="R15" i="5"/>
  <c r="T21" i="5"/>
  <c r="T15" i="5" s="1"/>
  <c r="G18" i="5"/>
  <c r="N18" i="5"/>
  <c r="G19" i="5"/>
  <c r="N19" i="5"/>
  <c r="G20" i="5"/>
  <c r="N20" i="5"/>
  <c r="G21" i="5"/>
  <c r="N21" i="5"/>
  <c r="B22" i="5"/>
  <c r="C22" i="5"/>
  <c r="D23" i="3" s="1"/>
  <c r="I22" i="5"/>
  <c r="K22" i="5"/>
  <c r="L23" i="3" s="1"/>
  <c r="L15" i="3" s="1"/>
  <c r="L22" i="5"/>
  <c r="P22" i="5"/>
  <c r="B7" i="4"/>
  <c r="B12" i="4" s="1"/>
  <c r="G9" i="4"/>
  <c r="T9" i="4"/>
  <c r="C12" i="4"/>
  <c r="D12" i="4"/>
  <c r="E12" i="4"/>
  <c r="B15" i="4"/>
  <c r="G15" i="4" s="1"/>
  <c r="G20" i="4" s="1"/>
  <c r="G17" i="4"/>
  <c r="T17" i="4"/>
  <c r="B20" i="4"/>
  <c r="C20" i="4"/>
  <c r="D20" i="4"/>
  <c r="E20" i="4"/>
  <c r="J7" i="3"/>
  <c r="L7" i="3"/>
  <c r="L6" i="3"/>
  <c r="S7" i="3"/>
  <c r="S6" i="3" s="1"/>
  <c r="H8" i="3"/>
  <c r="O8" i="3"/>
  <c r="U8" i="3"/>
  <c r="C9" i="3"/>
  <c r="B48" i="6" s="1"/>
  <c r="D9" i="3"/>
  <c r="C48" i="6" s="1"/>
  <c r="C50" i="6" s="1"/>
  <c r="E9" i="3"/>
  <c r="D48" i="6" s="1"/>
  <c r="D50" i="6" s="1"/>
  <c r="F9" i="3"/>
  <c r="E48" i="6" s="1"/>
  <c r="E50" i="6" s="1"/>
  <c r="J9" i="3"/>
  <c r="I48" i="6" s="1"/>
  <c r="K9" i="3"/>
  <c r="L9" i="3"/>
  <c r="O9" i="3" s="1"/>
  <c r="M9" i="3"/>
  <c r="L48" i="6" s="1"/>
  <c r="L50" i="6" s="1"/>
  <c r="Q9" i="3"/>
  <c r="R9" i="3"/>
  <c r="Q48" i="6" s="1"/>
  <c r="Q50" i="6" s="1"/>
  <c r="S9" i="3"/>
  <c r="R48" i="6" s="1"/>
  <c r="R50" i="6" s="1"/>
  <c r="H10" i="3"/>
  <c r="O10" i="3"/>
  <c r="U10" i="3"/>
  <c r="H11" i="3"/>
  <c r="O11" i="3"/>
  <c r="U11" i="3"/>
  <c r="K12" i="3"/>
  <c r="J7" i="6" s="1"/>
  <c r="J14" i="6" s="1"/>
  <c r="C24" i="3"/>
  <c r="C16" i="3" s="1"/>
  <c r="H16" i="3" s="1"/>
  <c r="D22" i="3"/>
  <c r="J23" i="3"/>
  <c r="J22" i="3" s="1"/>
  <c r="L22" i="3"/>
  <c r="M23" i="3"/>
  <c r="M22" i="3"/>
  <c r="Q23" i="3"/>
  <c r="Q22" i="3" s="1"/>
  <c r="R23" i="3"/>
  <c r="R22" i="3"/>
  <c r="J15" i="3"/>
  <c r="D16" i="3"/>
  <c r="E16" i="3"/>
  <c r="F16" i="3"/>
  <c r="J16" i="3"/>
  <c r="K16" i="3"/>
  <c r="L16" i="3"/>
  <c r="M16" i="3"/>
  <c r="Q16" i="3"/>
  <c r="U16" i="3" s="1"/>
  <c r="R16" i="3"/>
  <c r="S16" i="3"/>
  <c r="C25" i="3"/>
  <c r="C17" i="3"/>
  <c r="D25" i="3"/>
  <c r="D28" i="3" s="1"/>
  <c r="E25" i="3"/>
  <c r="F25" i="3"/>
  <c r="F17" i="3"/>
  <c r="J25" i="3"/>
  <c r="J17" i="3"/>
  <c r="O17" i="3" s="1"/>
  <c r="K25" i="3"/>
  <c r="K17" i="3"/>
  <c r="L25" i="3"/>
  <c r="L17" i="3"/>
  <c r="M25" i="3"/>
  <c r="M17" i="3"/>
  <c r="Q25" i="3"/>
  <c r="Q28" i="3" s="1"/>
  <c r="R25" i="3"/>
  <c r="R17" i="3" s="1"/>
  <c r="S25" i="3"/>
  <c r="S17" i="3"/>
  <c r="C18" i="3"/>
  <c r="D18" i="3"/>
  <c r="E18" i="3"/>
  <c r="F18" i="3"/>
  <c r="J18" i="3"/>
  <c r="K18" i="3"/>
  <c r="L18" i="3"/>
  <c r="M18" i="3"/>
  <c r="O18" i="3"/>
  <c r="Q18" i="3"/>
  <c r="U18" i="3" s="1"/>
  <c r="R18" i="3"/>
  <c r="S18" i="3"/>
  <c r="C19" i="3"/>
  <c r="D19" i="3"/>
  <c r="H19" i="3" s="1"/>
  <c r="E19" i="3"/>
  <c r="F19" i="3"/>
  <c r="J19" i="3"/>
  <c r="O19" i="3" s="1"/>
  <c r="K19" i="3"/>
  <c r="L19" i="3"/>
  <c r="M19" i="3"/>
  <c r="Q19" i="3"/>
  <c r="R19" i="3"/>
  <c r="S19" i="3"/>
  <c r="U19" i="3"/>
  <c r="M28" i="3"/>
  <c r="H24" i="3"/>
  <c r="N8" i="2" s="1"/>
  <c r="O24" i="3"/>
  <c r="U24" i="3"/>
  <c r="O25" i="3"/>
  <c r="H26" i="3"/>
  <c r="O26" i="3"/>
  <c r="U26" i="3"/>
  <c r="AJ10" i="2" s="1"/>
  <c r="AJ9" i="2" s="1"/>
  <c r="H27" i="3"/>
  <c r="O27" i="3"/>
  <c r="U27" i="3"/>
  <c r="D8" i="2"/>
  <c r="E8" i="2"/>
  <c r="F8" i="2"/>
  <c r="G7" i="2"/>
  <c r="G8" i="2"/>
  <c r="H8" i="2"/>
  <c r="I8" i="2"/>
  <c r="J8" i="2"/>
  <c r="K8" i="2"/>
  <c r="M8" i="2"/>
  <c r="P8" i="2"/>
  <c r="Q7" i="2"/>
  <c r="Q8" i="2"/>
  <c r="R7" i="2"/>
  <c r="R6" i="2" s="1"/>
  <c r="R8" i="2"/>
  <c r="S8" i="2"/>
  <c r="T7" i="2"/>
  <c r="T8" i="2"/>
  <c r="T6" i="2"/>
  <c r="U7" i="2"/>
  <c r="U8" i="2"/>
  <c r="U6" i="2"/>
  <c r="V8" i="2"/>
  <c r="W7" i="2"/>
  <c r="W8" i="2"/>
  <c r="W6" i="2" s="1"/>
  <c r="Y8" i="2"/>
  <c r="Z8" i="2"/>
  <c r="AB8" i="2"/>
  <c r="AC7" i="2"/>
  <c r="AC8" i="2"/>
  <c r="AC6" i="2"/>
  <c r="AD8" i="2"/>
  <c r="AE7" i="2"/>
  <c r="AE8" i="2"/>
  <c r="AE6" i="2"/>
  <c r="AF7" i="2"/>
  <c r="AF8" i="2"/>
  <c r="AG8" i="2"/>
  <c r="AI8" i="2"/>
  <c r="AJ8" i="2"/>
  <c r="D10" i="2"/>
  <c r="D9" i="2" s="1"/>
  <c r="D11" i="2"/>
  <c r="E10" i="2"/>
  <c r="E11" i="2"/>
  <c r="E9" i="2"/>
  <c r="F10" i="2"/>
  <c r="F11" i="2"/>
  <c r="F9" i="2"/>
  <c r="G10" i="2"/>
  <c r="G11" i="2"/>
  <c r="G9" i="2"/>
  <c r="H10" i="2"/>
  <c r="H9" i="2" s="1"/>
  <c r="H11" i="2"/>
  <c r="I10" i="2"/>
  <c r="I11" i="2"/>
  <c r="I9" i="2" s="1"/>
  <c r="J10" i="2"/>
  <c r="J11" i="2"/>
  <c r="J9" i="2" s="1"/>
  <c r="K10" i="2"/>
  <c r="K9" i="2" s="1"/>
  <c r="K11" i="2"/>
  <c r="M10" i="2"/>
  <c r="M9" i="2" s="1"/>
  <c r="M11" i="2"/>
  <c r="N10" i="2"/>
  <c r="N11" i="2"/>
  <c r="N9" i="2"/>
  <c r="P10" i="2"/>
  <c r="P11" i="2"/>
  <c r="P9" i="2"/>
  <c r="Q10" i="2"/>
  <c r="Q11" i="2"/>
  <c r="Q9" i="2"/>
  <c r="R10" i="2"/>
  <c r="R11" i="2"/>
  <c r="S10" i="2"/>
  <c r="S11" i="2"/>
  <c r="S9" i="2" s="1"/>
  <c r="T10" i="2"/>
  <c r="T11" i="2"/>
  <c r="T9" i="2" s="1"/>
  <c r="U10" i="2"/>
  <c r="U11" i="2"/>
  <c r="V10" i="2"/>
  <c r="V9" i="2" s="1"/>
  <c r="V11" i="2"/>
  <c r="W10" i="2"/>
  <c r="W11" i="2"/>
  <c r="W9" i="2"/>
  <c r="Y10" i="2"/>
  <c r="Y11" i="2"/>
  <c r="Y9" i="2"/>
  <c r="Z10" i="2"/>
  <c r="Z11" i="2"/>
  <c r="Z9" i="2"/>
  <c r="AB10" i="2"/>
  <c r="AB11" i="2"/>
  <c r="AB9" i="2" s="1"/>
  <c r="AC10" i="2"/>
  <c r="AC11" i="2"/>
  <c r="AC9" i="2" s="1"/>
  <c r="AD10" i="2"/>
  <c r="AD11" i="2"/>
  <c r="AD9" i="2" s="1"/>
  <c r="AE10" i="2"/>
  <c r="AE11" i="2"/>
  <c r="AF10" i="2"/>
  <c r="AF9" i="2" s="1"/>
  <c r="AF11" i="2"/>
  <c r="AG10" i="2"/>
  <c r="AG11" i="2"/>
  <c r="AG9" i="2"/>
  <c r="AI10" i="2"/>
  <c r="AI11" i="2"/>
  <c r="AI9" i="2"/>
  <c r="AJ11" i="2"/>
  <c r="R12" i="2"/>
  <c r="E15" i="2"/>
  <c r="F15" i="2"/>
  <c r="G15" i="2"/>
  <c r="H15" i="2"/>
  <c r="I15" i="2"/>
  <c r="J15" i="2"/>
  <c r="K15" i="2"/>
  <c r="N15" i="2"/>
  <c r="R17" i="2"/>
  <c r="R18" i="2"/>
  <c r="T18" i="2"/>
  <c r="W18" i="2"/>
  <c r="AC18" i="2"/>
  <c r="N20" i="2"/>
  <c r="Z20" i="2"/>
  <c r="Z21" i="2" s="1"/>
  <c r="AJ20" i="2"/>
  <c r="Q21" i="2"/>
  <c r="S21" i="2"/>
  <c r="U21" i="2"/>
  <c r="W21" i="2"/>
  <c r="AC21" i="2"/>
  <c r="AE21" i="2"/>
  <c r="AG21" i="2"/>
  <c r="N23" i="2"/>
  <c r="Z23" i="2"/>
  <c r="AJ23" i="2"/>
  <c r="Q24" i="2"/>
  <c r="S24" i="2"/>
  <c r="U24" i="2"/>
  <c r="W24" i="2"/>
  <c r="Z24" i="2"/>
  <c r="AC24" i="2"/>
  <c r="AE24" i="2"/>
  <c r="AG24" i="2"/>
  <c r="Q27" i="2"/>
  <c r="S27" i="2"/>
  <c r="U27" i="2"/>
  <c r="W27" i="2"/>
  <c r="Z27" i="2"/>
  <c r="AC27" i="2"/>
  <c r="AE27" i="2"/>
  <c r="AG27" i="2"/>
  <c r="AJ27" i="2"/>
  <c r="E28" i="2"/>
  <c r="G28" i="2"/>
  <c r="I28" i="2"/>
  <c r="K28" i="2"/>
  <c r="N28" i="2"/>
  <c r="Q28" i="2"/>
  <c r="S28" i="2"/>
  <c r="S32" i="2" s="1"/>
  <c r="U28" i="2"/>
  <c r="W28" i="2"/>
  <c r="Z28" i="2"/>
  <c r="AC28" i="2"/>
  <c r="AE28" i="2"/>
  <c r="AG28" i="2"/>
  <c r="E30" i="2"/>
  <c r="G30" i="2"/>
  <c r="I30" i="2"/>
  <c r="K30" i="2"/>
  <c r="N30" i="2"/>
  <c r="Q30" i="2"/>
  <c r="S30" i="2"/>
  <c r="U30" i="2"/>
  <c r="W30" i="2"/>
  <c r="W31" i="2" s="1"/>
  <c r="Z30" i="2"/>
  <c r="AC30" i="2"/>
  <c r="AE30" i="2"/>
  <c r="AG30" i="2"/>
  <c r="S31" i="2"/>
  <c r="U31" i="2"/>
  <c r="Z31" i="2"/>
  <c r="AC31" i="2"/>
  <c r="AE31" i="2"/>
  <c r="AG31" i="2"/>
  <c r="E32" i="2"/>
  <c r="G32" i="2"/>
  <c r="I32" i="2"/>
  <c r="K32" i="2"/>
  <c r="N32" i="2"/>
  <c r="Q32" i="2"/>
  <c r="U32" i="2"/>
  <c r="W32" i="2"/>
  <c r="Z32" i="2"/>
  <c r="AC32" i="2"/>
  <c r="AE32" i="2"/>
  <c r="AG32" i="2"/>
  <c r="E34" i="2"/>
  <c r="G34" i="2"/>
  <c r="I34" i="2"/>
  <c r="P34" i="2"/>
  <c r="Q34" i="2"/>
  <c r="Q39" i="2" s="1"/>
  <c r="R34" i="2"/>
  <c r="T34" i="2"/>
  <c r="U34" i="2"/>
  <c r="W34" i="2"/>
  <c r="AC34" i="2"/>
  <c r="AE34" i="2"/>
  <c r="AF34" i="2"/>
  <c r="AI34" i="2"/>
  <c r="D35" i="2"/>
  <c r="E35" i="2"/>
  <c r="F35" i="2"/>
  <c r="G35" i="2"/>
  <c r="H35" i="2"/>
  <c r="I35" i="2"/>
  <c r="J35" i="2"/>
  <c r="K35" i="2"/>
  <c r="W40" i="2" s="1"/>
  <c r="M35" i="2"/>
  <c r="N35" i="2"/>
  <c r="P35" i="2"/>
  <c r="Q35" i="2"/>
  <c r="R35" i="2"/>
  <c r="S35" i="2"/>
  <c r="T35" i="2"/>
  <c r="U35" i="2"/>
  <c r="V35" i="2"/>
  <c r="W35" i="2"/>
  <c r="Y35" i="2"/>
  <c r="Z35" i="2"/>
  <c r="AB35" i="2"/>
  <c r="AC35" i="2"/>
  <c r="AD35" i="2"/>
  <c r="AE35" i="2"/>
  <c r="AE40" i="2" s="1"/>
  <c r="AF35" i="2"/>
  <c r="AG35" i="2"/>
  <c r="AI35" i="2"/>
  <c r="AJ35" i="2"/>
  <c r="D36" i="2"/>
  <c r="E36" i="2"/>
  <c r="F36" i="2"/>
  <c r="G36" i="2"/>
  <c r="S40" i="2" s="1"/>
  <c r="H36" i="2"/>
  <c r="I36" i="2"/>
  <c r="J36" i="2"/>
  <c r="K36" i="2"/>
  <c r="M36" i="2"/>
  <c r="N36" i="2"/>
  <c r="P36" i="2"/>
  <c r="Q36" i="2"/>
  <c r="AC40" i="2" s="1"/>
  <c r="R36" i="2"/>
  <c r="S36" i="2"/>
  <c r="T36" i="2"/>
  <c r="U36" i="2"/>
  <c r="V36" i="2"/>
  <c r="W36" i="2"/>
  <c r="Y36" i="2"/>
  <c r="Z36" i="2"/>
  <c r="AB36" i="2"/>
  <c r="AC36" i="2"/>
  <c r="AD36" i="2"/>
  <c r="AE36" i="2"/>
  <c r="AF36" i="2"/>
  <c r="AG36" i="2"/>
  <c r="AI36" i="2"/>
  <c r="AJ36" i="2"/>
  <c r="D37" i="2"/>
  <c r="E37" i="2"/>
  <c r="F37" i="2"/>
  <c r="G37" i="2"/>
  <c r="H37" i="2"/>
  <c r="I37" i="2"/>
  <c r="J37" i="2"/>
  <c r="K37" i="2"/>
  <c r="M37" i="2"/>
  <c r="N37" i="2"/>
  <c r="P37" i="2"/>
  <c r="Q37" i="2"/>
  <c r="R37" i="2"/>
  <c r="S37" i="2"/>
  <c r="T37" i="2"/>
  <c r="U37" i="2"/>
  <c r="V37" i="2"/>
  <c r="W37" i="2"/>
  <c r="Y37" i="2"/>
  <c r="Z37" i="2"/>
  <c r="AB37" i="2"/>
  <c r="AC37" i="2"/>
  <c r="AD37" i="2"/>
  <c r="AE37" i="2"/>
  <c r="AF37" i="2"/>
  <c r="AG37" i="2"/>
  <c r="AI37" i="2"/>
  <c r="AJ37" i="2"/>
  <c r="U39" i="2"/>
  <c r="AC39" i="2"/>
  <c r="AF39" i="2"/>
  <c r="AI39" i="2"/>
  <c r="P40" i="2"/>
  <c r="Q40" i="2"/>
  <c r="R40" i="2"/>
  <c r="T40" i="2"/>
  <c r="V40" i="2"/>
  <c r="Y40" i="2"/>
  <c r="Z40" i="2"/>
  <c r="AB40" i="2"/>
  <c r="AD40" i="2"/>
  <c r="AF40" i="2"/>
  <c r="AI40" i="2"/>
  <c r="AJ40" i="2"/>
  <c r="D43" i="2"/>
  <c r="E43" i="2"/>
  <c r="F43" i="2"/>
  <c r="G43" i="2"/>
  <c r="H43" i="2"/>
  <c r="I43" i="2"/>
  <c r="J43" i="2"/>
  <c r="K43" i="2"/>
  <c r="M43" i="2"/>
  <c r="N43" i="2"/>
  <c r="P43" i="2"/>
  <c r="Q43" i="2"/>
  <c r="R43" i="2"/>
  <c r="S43" i="2"/>
  <c r="T43" i="2"/>
  <c r="U43" i="2"/>
  <c r="V43" i="2"/>
  <c r="W43" i="2"/>
  <c r="Y43" i="2"/>
  <c r="Z43" i="2"/>
  <c r="AB43" i="2"/>
  <c r="AC43" i="2"/>
  <c r="AD43" i="2"/>
  <c r="AE43" i="2"/>
  <c r="AF43" i="2"/>
  <c r="AG43" i="2"/>
  <c r="AI43" i="2"/>
  <c r="AJ43" i="2"/>
  <c r="F46" i="2"/>
  <c r="H46" i="2"/>
  <c r="J46" i="2"/>
  <c r="R46" i="2"/>
  <c r="S46" i="2"/>
  <c r="T46" i="2"/>
  <c r="V46" i="2"/>
  <c r="AD46" i="2"/>
  <c r="AF46" i="2"/>
  <c r="R47" i="2"/>
  <c r="S47" i="2"/>
  <c r="D49" i="2"/>
  <c r="E49" i="2"/>
  <c r="F49" i="2"/>
  <c r="G49" i="2"/>
  <c r="H49" i="2"/>
  <c r="I49" i="2"/>
  <c r="J49" i="2"/>
  <c r="K49" i="2"/>
  <c r="M49" i="2"/>
  <c r="N49" i="2"/>
  <c r="P49" i="2"/>
  <c r="Q49" i="2"/>
  <c r="R49" i="2"/>
  <c r="S49" i="2"/>
  <c r="T49" i="2"/>
  <c r="U49" i="2"/>
  <c r="V49" i="2"/>
  <c r="W49" i="2"/>
  <c r="Y49" i="2"/>
  <c r="AB49" i="2"/>
  <c r="AC49" i="2"/>
  <c r="AD49" i="2"/>
  <c r="AE49" i="2"/>
  <c r="AF49" i="2"/>
  <c r="AG49" i="2"/>
  <c r="AI49" i="2"/>
  <c r="AJ49" i="2"/>
  <c r="D50" i="2"/>
  <c r="E50" i="2"/>
  <c r="F50" i="2"/>
  <c r="G50" i="2"/>
  <c r="H50" i="2"/>
  <c r="I50" i="2"/>
  <c r="J50" i="2"/>
  <c r="K50" i="2"/>
  <c r="M50" i="2"/>
  <c r="N50" i="2"/>
  <c r="P50" i="2"/>
  <c r="Q50" i="2"/>
  <c r="R50" i="2"/>
  <c r="S50" i="2"/>
  <c r="T50" i="2"/>
  <c r="U50" i="2"/>
  <c r="V50" i="2"/>
  <c r="W50" i="2"/>
  <c r="Y50" i="2"/>
  <c r="Z50" i="2"/>
  <c r="AB50" i="2"/>
  <c r="AC50" i="2"/>
  <c r="AD50" i="2"/>
  <c r="AE50" i="2"/>
  <c r="AF50" i="2"/>
  <c r="AG50" i="2"/>
  <c r="AI50" i="2"/>
  <c r="AJ50" i="2"/>
  <c r="D51" i="2"/>
  <c r="F51" i="2"/>
  <c r="G51" i="2"/>
  <c r="H51" i="2"/>
  <c r="I51" i="2"/>
  <c r="J51" i="2"/>
  <c r="K51" i="2"/>
  <c r="M51" i="2"/>
  <c r="P51" i="2"/>
  <c r="Q51" i="2"/>
  <c r="R51" i="2"/>
  <c r="T51" i="2"/>
  <c r="V51" i="2"/>
  <c r="W51" i="2"/>
  <c r="Y51" i="2"/>
  <c r="AB51" i="2"/>
  <c r="AC51" i="2"/>
  <c r="AD51" i="2"/>
  <c r="AE51" i="2"/>
  <c r="AF51" i="2"/>
  <c r="AG51" i="2"/>
  <c r="AI51" i="2"/>
  <c r="D52" i="2"/>
  <c r="E52" i="2"/>
  <c r="F52" i="2"/>
  <c r="G52" i="2"/>
  <c r="H52" i="2"/>
  <c r="I52" i="2"/>
  <c r="J52" i="2"/>
  <c r="K52" i="2"/>
  <c r="M52" i="2"/>
  <c r="N52" i="2"/>
  <c r="P52" i="2"/>
  <c r="Q52" i="2"/>
  <c r="R52" i="2"/>
  <c r="S52" i="2"/>
  <c r="T52" i="2"/>
  <c r="U52" i="2"/>
  <c r="V52" i="2"/>
  <c r="W52" i="2"/>
  <c r="Y52" i="2"/>
  <c r="Z52" i="2"/>
  <c r="AB52" i="2"/>
  <c r="AC52" i="2"/>
  <c r="AD52" i="2"/>
  <c r="AE52" i="2"/>
  <c r="AF52" i="2"/>
  <c r="AG52" i="2"/>
  <c r="AI52" i="2"/>
  <c r="AJ52" i="2"/>
  <c r="D54" i="2"/>
  <c r="F54" i="2"/>
  <c r="H54" i="2"/>
  <c r="J54" i="2"/>
  <c r="M54" i="2"/>
  <c r="P54" i="2"/>
  <c r="R54" i="2"/>
  <c r="T54" i="2"/>
  <c r="U54" i="2"/>
  <c r="V54" i="2"/>
  <c r="W54" i="2"/>
  <c r="Y54" i="2"/>
  <c r="AB54" i="2"/>
  <c r="AD54" i="2"/>
  <c r="AF54" i="2"/>
  <c r="AI54" i="2"/>
  <c r="D55" i="2"/>
  <c r="E55" i="2"/>
  <c r="F55" i="2"/>
  <c r="G55" i="2"/>
  <c r="H55" i="2"/>
  <c r="I55" i="2"/>
  <c r="J55" i="2"/>
  <c r="K55" i="2"/>
  <c r="M55" i="2"/>
  <c r="N55" i="2"/>
  <c r="P55" i="2"/>
  <c r="Q55" i="2"/>
  <c r="R55" i="2"/>
  <c r="S55" i="2"/>
  <c r="T55" i="2"/>
  <c r="U55" i="2"/>
  <c r="V55" i="2"/>
  <c r="W55" i="2"/>
  <c r="Y55" i="2"/>
  <c r="Z55" i="2"/>
  <c r="AB55" i="2"/>
  <c r="AC55" i="2"/>
  <c r="AD55" i="2"/>
  <c r="AE55" i="2"/>
  <c r="AF55" i="2"/>
  <c r="AG55" i="2"/>
  <c r="AI55" i="2"/>
  <c r="AJ55" i="2"/>
  <c r="D58" i="2"/>
  <c r="E58" i="2"/>
  <c r="F58" i="2"/>
  <c r="G58" i="2"/>
  <c r="H58" i="2"/>
  <c r="I58" i="2"/>
  <c r="J58" i="2"/>
  <c r="K58" i="2"/>
  <c r="M58" i="2"/>
  <c r="N58" i="2"/>
  <c r="P58" i="2"/>
  <c r="Q58" i="2"/>
  <c r="R58" i="2"/>
  <c r="S58" i="2"/>
  <c r="T58" i="2"/>
  <c r="U58" i="2"/>
  <c r="V58" i="2"/>
  <c r="W58" i="2"/>
  <c r="Y58" i="2"/>
  <c r="Z58" i="2"/>
  <c r="AB58" i="2"/>
  <c r="AC58" i="2"/>
  <c r="AD58" i="2"/>
  <c r="AE58" i="2"/>
  <c r="AF58" i="2"/>
  <c r="AG58" i="2"/>
  <c r="AI58" i="2"/>
  <c r="AJ58" i="2"/>
  <c r="E7" i="3" l="1"/>
  <c r="H34" i="2"/>
  <c r="T39" i="2" s="1"/>
  <c r="R28" i="3"/>
  <c r="Q7" i="3"/>
  <c r="AB34" i="2"/>
  <c r="AB39" i="2" s="1"/>
  <c r="K51" i="6"/>
  <c r="T47" i="2" s="1"/>
  <c r="K61" i="6"/>
  <c r="G10" i="14"/>
  <c r="AF18" i="2"/>
  <c r="AF6" i="2"/>
  <c r="R7" i="3"/>
  <c r="R15" i="3" s="1"/>
  <c r="AD34" i="2"/>
  <c r="AD39" i="2" s="1"/>
  <c r="Q6" i="2"/>
  <c r="Q18" i="2"/>
  <c r="L16" i="4"/>
  <c r="E17" i="3"/>
  <c r="H25" i="3"/>
  <c r="E61" i="6"/>
  <c r="E51" i="6"/>
  <c r="J47" i="2" s="1"/>
  <c r="R30" i="6"/>
  <c r="R32" i="6" s="1"/>
  <c r="S12" i="3"/>
  <c r="G14" i="5"/>
  <c r="K23" i="3"/>
  <c r="S34" i="2"/>
  <c r="N22" i="5"/>
  <c r="Z34" i="2" s="1"/>
  <c r="J28" i="3"/>
  <c r="G12" i="4"/>
  <c r="D7" i="3"/>
  <c r="F34" i="2"/>
  <c r="R39" i="2" s="1"/>
  <c r="U40" i="2"/>
  <c r="AG40" i="2"/>
  <c r="Q31" i="2"/>
  <c r="AE9" i="2"/>
  <c r="AE18" i="2"/>
  <c r="G6" i="2"/>
  <c r="G18" i="2"/>
  <c r="H18" i="3"/>
  <c r="C16" i="4"/>
  <c r="C18" i="4" s="1"/>
  <c r="G14" i="2" s="1"/>
  <c r="G12" i="2"/>
  <c r="G17" i="2" s="1"/>
  <c r="J15" i="4"/>
  <c r="J20" i="4" s="1"/>
  <c r="J25" i="6"/>
  <c r="S42" i="2" s="1"/>
  <c r="R42" i="2"/>
  <c r="R61" i="6"/>
  <c r="R51" i="6"/>
  <c r="AF47" i="2" s="1"/>
  <c r="D51" i="6"/>
  <c r="H47" i="2" s="1"/>
  <c r="D61" i="6"/>
  <c r="D15" i="2"/>
  <c r="AC12" i="2"/>
  <c r="AC17" i="2" s="1"/>
  <c r="P16" i="4"/>
  <c r="R9" i="2"/>
  <c r="Q61" i="6"/>
  <c r="Q51" i="6"/>
  <c r="AD47" i="2" s="1"/>
  <c r="W12" i="2"/>
  <c r="W17" i="2" s="1"/>
  <c r="G48" i="6"/>
  <c r="B50" i="6"/>
  <c r="J6" i="3"/>
  <c r="J14" i="3" s="1"/>
  <c r="P7" i="2"/>
  <c r="J43" i="6"/>
  <c r="J33" i="6"/>
  <c r="R45" i="2" s="1"/>
  <c r="R44" i="2"/>
  <c r="AJ30" i="2"/>
  <c r="AJ31" i="2" s="1"/>
  <c r="AJ28" i="2"/>
  <c r="AJ32" i="2" s="1"/>
  <c r="U9" i="2"/>
  <c r="U18" i="2"/>
  <c r="L14" i="3"/>
  <c r="L28" i="3"/>
  <c r="L51" i="6"/>
  <c r="V47" i="2" s="1"/>
  <c r="L61" i="6"/>
  <c r="E22" i="3"/>
  <c r="E15" i="3"/>
  <c r="I7" i="2"/>
  <c r="J34" i="2"/>
  <c r="F7" i="3"/>
  <c r="Q17" i="3"/>
  <c r="U17" i="3" s="1"/>
  <c r="D17" i="3"/>
  <c r="H17" i="3" s="1"/>
  <c r="J8" i="4"/>
  <c r="G7" i="4"/>
  <c r="N15" i="5"/>
  <c r="N60" i="6"/>
  <c r="T57" i="6"/>
  <c r="J35" i="7"/>
  <c r="S51" i="2" s="1"/>
  <c r="N32" i="7"/>
  <c r="N27" i="7"/>
  <c r="K35" i="7"/>
  <c r="U51" i="2" s="1"/>
  <c r="J15" i="14"/>
  <c r="J22" i="8"/>
  <c r="S54" i="2" s="1"/>
  <c r="T20" i="11"/>
  <c r="C22" i="3"/>
  <c r="U9" i="3"/>
  <c r="P48" i="6"/>
  <c r="C61" i="6"/>
  <c r="C51" i="6"/>
  <c r="F47" i="2" s="1"/>
  <c r="C23" i="3"/>
  <c r="N59" i="6"/>
  <c r="T53" i="6"/>
  <c r="I15" i="14"/>
  <c r="N15" i="14" s="1"/>
  <c r="N14" i="8"/>
  <c r="N19" i="14"/>
  <c r="G26" i="11"/>
  <c r="U25" i="3"/>
  <c r="H9" i="3"/>
  <c r="T22" i="5"/>
  <c r="AJ34" i="2" s="1"/>
  <c r="AJ39" i="2" s="1"/>
  <c r="B12" i="5"/>
  <c r="B10" i="5"/>
  <c r="G6" i="5"/>
  <c r="T19" i="8"/>
  <c r="O16" i="3"/>
  <c r="R22" i="5"/>
  <c r="R12" i="5"/>
  <c r="R16" i="5" s="1"/>
  <c r="J12" i="5"/>
  <c r="J16" i="5" s="1"/>
  <c r="L10" i="5"/>
  <c r="L12" i="5"/>
  <c r="L16" i="5" s="1"/>
  <c r="N55" i="6"/>
  <c r="Q12" i="5"/>
  <c r="Q16" i="5" s="1"/>
  <c r="C14" i="8"/>
  <c r="C15" i="14" s="1"/>
  <c r="C17" i="14"/>
  <c r="G17" i="14" s="1"/>
  <c r="K30" i="6"/>
  <c r="K32" i="6" s="1"/>
  <c r="L12" i="3"/>
  <c r="Q7" i="4"/>
  <c r="Q12" i="4" s="1"/>
  <c r="G49" i="6"/>
  <c r="B15" i="14"/>
  <c r="R23" i="14"/>
  <c r="N13" i="14"/>
  <c r="N48" i="6"/>
  <c r="I50" i="6"/>
  <c r="I16" i="5"/>
  <c r="N16" i="5" s="1"/>
  <c r="P12" i="5"/>
  <c r="P16" i="5" s="1"/>
  <c r="E12" i="5"/>
  <c r="E16" i="5" s="1"/>
  <c r="E22" i="5"/>
  <c r="N17" i="7"/>
  <c r="Z49" i="2" s="1"/>
  <c r="T20" i="14"/>
  <c r="N17" i="14"/>
  <c r="B35" i="7"/>
  <c r="N19" i="8"/>
  <c r="E17" i="14"/>
  <c r="L56" i="6"/>
  <c r="N56" i="6" s="1"/>
  <c r="D14" i="8"/>
  <c r="D15" i="14" s="1"/>
  <c r="N9" i="14"/>
  <c r="C62" i="6" l="1"/>
  <c r="G47" i="2" s="1"/>
  <c r="G46" i="2"/>
  <c r="Q6" i="3"/>
  <c r="U7" i="3"/>
  <c r="AI7" i="2" s="1"/>
  <c r="AB7" i="2"/>
  <c r="Q15" i="3"/>
  <c r="K7" i="14"/>
  <c r="K7" i="6"/>
  <c r="K14" i="6" s="1"/>
  <c r="R7" i="4"/>
  <c r="R12" i="4" s="1"/>
  <c r="T12" i="2"/>
  <c r="T17" i="2" s="1"/>
  <c r="K8" i="4"/>
  <c r="B16" i="5"/>
  <c r="G16" i="5" s="1"/>
  <c r="G12" i="5"/>
  <c r="T48" i="6"/>
  <c r="P50" i="6"/>
  <c r="S15" i="2"/>
  <c r="M15" i="2"/>
  <c r="R7" i="14"/>
  <c r="R7" i="6"/>
  <c r="R14" i="6" s="1"/>
  <c r="R8" i="4"/>
  <c r="R10" i="4" s="1"/>
  <c r="AF14" i="2" s="1"/>
  <c r="AF12" i="2"/>
  <c r="AF17" i="2" s="1"/>
  <c r="C19" i="4"/>
  <c r="AD15" i="2"/>
  <c r="K43" i="6"/>
  <c r="K33" i="6"/>
  <c r="T45" i="2" s="1"/>
  <c r="T44" i="2"/>
  <c r="R15" i="4"/>
  <c r="R20" i="4" s="1"/>
  <c r="K16" i="4"/>
  <c r="U12" i="2"/>
  <c r="U17" i="2" s="1"/>
  <c r="L20" i="3"/>
  <c r="K12" i="14" s="1"/>
  <c r="K23" i="14" s="1"/>
  <c r="R33" i="6"/>
  <c r="AF45" i="2" s="1"/>
  <c r="AF44" i="2"/>
  <c r="R43" i="6"/>
  <c r="AE12" i="2"/>
  <c r="AE17" i="2" s="1"/>
  <c r="Q16" i="4"/>
  <c r="F23" i="3"/>
  <c r="K34" i="2"/>
  <c r="W39" i="2" s="1"/>
  <c r="AG56" i="2"/>
  <c r="C28" i="3"/>
  <c r="J7" i="2"/>
  <c r="F6" i="3"/>
  <c r="S44" i="2"/>
  <c r="Q62" i="6"/>
  <c r="AE47" i="2" s="1"/>
  <c r="AE46" i="2"/>
  <c r="D62" i="6"/>
  <c r="I47" i="2" s="1"/>
  <c r="I46" i="2"/>
  <c r="S23" i="3"/>
  <c r="AG34" i="2"/>
  <c r="AG39" i="2" s="1"/>
  <c r="D6" i="3"/>
  <c r="D15" i="3"/>
  <c r="F7" i="2"/>
  <c r="G15" i="14"/>
  <c r="E7" i="2"/>
  <c r="P18" i="2"/>
  <c r="P6" i="2"/>
  <c r="P15" i="4"/>
  <c r="I16" i="4"/>
  <c r="Q12" i="2"/>
  <c r="Q17" i="2" s="1"/>
  <c r="E62" i="6"/>
  <c r="K47" i="2" s="1"/>
  <c r="K46" i="2"/>
  <c r="C7" i="3"/>
  <c r="G10" i="5"/>
  <c r="M34" i="2" s="1"/>
  <c r="D34" i="2"/>
  <c r="P39" i="2" s="1"/>
  <c r="L62" i="6"/>
  <c r="W47" i="2" s="1"/>
  <c r="W46" i="2"/>
  <c r="G14" i="8"/>
  <c r="M7" i="3"/>
  <c r="V34" i="2"/>
  <c r="V39" i="2" s="1"/>
  <c r="N10" i="5"/>
  <c r="Y34" i="2" s="1"/>
  <c r="Y39" i="2" s="1"/>
  <c r="G22" i="5"/>
  <c r="N34" i="2" s="1"/>
  <c r="Z39" i="2" s="1"/>
  <c r="I18" i="2"/>
  <c r="I6" i="2"/>
  <c r="K62" i="6"/>
  <c r="U47" i="2" s="1"/>
  <c r="U46" i="2"/>
  <c r="N35" i="7"/>
  <c r="Z51" i="2" s="1"/>
  <c r="I30" i="6"/>
  <c r="J12" i="3"/>
  <c r="R62" i="6"/>
  <c r="AG47" i="2" s="1"/>
  <c r="AG46" i="2"/>
  <c r="AE39" i="2"/>
  <c r="S39" i="2"/>
  <c r="R6" i="3"/>
  <c r="AD7" i="2"/>
  <c r="G35" i="7"/>
  <c r="N51" i="2" s="1"/>
  <c r="E51" i="2"/>
  <c r="N50" i="6"/>
  <c r="I51" i="6"/>
  <c r="P47" i="2" s="1"/>
  <c r="P46" i="2"/>
  <c r="I61" i="6"/>
  <c r="N12" i="5"/>
  <c r="E28" i="3"/>
  <c r="B51" i="6"/>
  <c r="D47" i="2" s="1"/>
  <c r="B61" i="6"/>
  <c r="G50" i="6"/>
  <c r="D46" i="2"/>
  <c r="K22" i="3"/>
  <c r="K15" i="3"/>
  <c r="O23" i="3"/>
  <c r="Z7" i="2" s="1"/>
  <c r="S7" i="2"/>
  <c r="E6" i="3"/>
  <c r="H7" i="2"/>
  <c r="E6" i="2" l="1"/>
  <c r="E18" i="2"/>
  <c r="K28" i="3"/>
  <c r="K14" i="3"/>
  <c r="O22" i="3"/>
  <c r="I62" i="6"/>
  <c r="Q47" i="2" s="1"/>
  <c r="N61" i="6"/>
  <c r="Q46" i="2"/>
  <c r="R44" i="6"/>
  <c r="AG45" i="2" s="1"/>
  <c r="AG44" i="2"/>
  <c r="P51" i="6"/>
  <c r="AB47" i="2" s="1"/>
  <c r="T50" i="6"/>
  <c r="P61" i="6"/>
  <c r="AB46" i="2"/>
  <c r="P20" i="4"/>
  <c r="F18" i="2"/>
  <c r="F6" i="2"/>
  <c r="K44" i="6"/>
  <c r="U45" i="2" s="1"/>
  <c r="U44" i="2"/>
  <c r="R25" i="6"/>
  <c r="AG42" i="2" s="1"/>
  <c r="AF42" i="2"/>
  <c r="AB18" i="2"/>
  <c r="AB6" i="2"/>
  <c r="G51" i="6"/>
  <c r="M47" i="2" s="1"/>
  <c r="M46" i="2"/>
  <c r="H7" i="3"/>
  <c r="M7" i="2" s="1"/>
  <c r="C6" i="3"/>
  <c r="D7" i="2"/>
  <c r="AI18" i="2"/>
  <c r="AI6" i="2"/>
  <c r="H18" i="2"/>
  <c r="H6" i="2"/>
  <c r="G61" i="6"/>
  <c r="B62" i="6"/>
  <c r="E47" i="2" s="1"/>
  <c r="E46" i="2"/>
  <c r="N51" i="6"/>
  <c r="Y47" i="2" s="1"/>
  <c r="Y46" i="2"/>
  <c r="D12" i="3"/>
  <c r="C30" i="6"/>
  <c r="C32" i="6" s="1"/>
  <c r="D14" i="3"/>
  <c r="J44" i="6"/>
  <c r="S45" i="2" s="1"/>
  <c r="K24" i="14"/>
  <c r="U57" i="2" s="1"/>
  <c r="U56" i="2"/>
  <c r="Q12" i="3"/>
  <c r="P30" i="6"/>
  <c r="Q14" i="3"/>
  <c r="U6" i="3"/>
  <c r="Q30" i="6"/>
  <c r="Q32" i="6" s="1"/>
  <c r="R12" i="3"/>
  <c r="R14" i="3"/>
  <c r="I15" i="4"/>
  <c r="B16" i="4"/>
  <c r="E12" i="2"/>
  <c r="E17" i="2" s="1"/>
  <c r="E12" i="3"/>
  <c r="D30" i="6"/>
  <c r="D32" i="6" s="1"/>
  <c r="P18" i="4"/>
  <c r="AC14" i="2" s="1"/>
  <c r="M15" i="3"/>
  <c r="O15" i="3" s="1"/>
  <c r="M6" i="3"/>
  <c r="V7" i="2"/>
  <c r="O7" i="3"/>
  <c r="Y7" i="2" s="1"/>
  <c r="E30" i="6"/>
  <c r="E32" i="6" s="1"/>
  <c r="F12" i="3"/>
  <c r="F22" i="3"/>
  <c r="K7" i="2"/>
  <c r="F15" i="3"/>
  <c r="S18" i="2"/>
  <c r="S6" i="2"/>
  <c r="D16" i="4"/>
  <c r="D18" i="4" s="1"/>
  <c r="I12" i="2"/>
  <c r="I17" i="2" s="1"/>
  <c r="K15" i="4"/>
  <c r="K20" i="4" s="1"/>
  <c r="E20" i="3"/>
  <c r="P7" i="4"/>
  <c r="I7" i="6"/>
  <c r="P12" i="2"/>
  <c r="P17" i="2" s="1"/>
  <c r="I8" i="4"/>
  <c r="I7" i="14"/>
  <c r="H23" i="3"/>
  <c r="N7" i="2" s="1"/>
  <c r="S15" i="3"/>
  <c r="U15" i="3" s="1"/>
  <c r="S22" i="3"/>
  <c r="AG7" i="2"/>
  <c r="U23" i="3"/>
  <c r="AJ7" i="2" s="1"/>
  <c r="J6" i="2"/>
  <c r="J18" i="2"/>
  <c r="R11" i="4"/>
  <c r="AF15" i="2"/>
  <c r="Z6" i="2"/>
  <c r="Z18" i="2"/>
  <c r="E14" i="3"/>
  <c r="AD6" i="2"/>
  <c r="AD18" i="2"/>
  <c r="I32" i="6"/>
  <c r="J20" i="3"/>
  <c r="C15" i="3"/>
  <c r="H15" i="3" s="1"/>
  <c r="AG15" i="2"/>
  <c r="K25" i="6"/>
  <c r="U42" i="2" s="1"/>
  <c r="T42" i="2"/>
  <c r="N62" i="6" l="1"/>
  <c r="Z47" i="2" s="1"/>
  <c r="Z46" i="2"/>
  <c r="P12" i="4"/>
  <c r="T7" i="4"/>
  <c r="T12" i="4" s="1"/>
  <c r="M12" i="3"/>
  <c r="L30" i="6"/>
  <c r="M14" i="3"/>
  <c r="O14" i="3" s="1"/>
  <c r="O6" i="3"/>
  <c r="P32" i="6"/>
  <c r="T30" i="6"/>
  <c r="S14" i="3"/>
  <c r="S28" i="3"/>
  <c r="U22" i="3"/>
  <c r="I20" i="4"/>
  <c r="P7" i="14"/>
  <c r="P7" i="6"/>
  <c r="P8" i="4"/>
  <c r="AB12" i="2"/>
  <c r="AB17" i="2" s="1"/>
  <c r="U12" i="3"/>
  <c r="Q20" i="3"/>
  <c r="I14" i="6"/>
  <c r="V6" i="2"/>
  <c r="V18" i="2"/>
  <c r="AI46" i="2"/>
  <c r="T51" i="6"/>
  <c r="AI47" i="2" s="1"/>
  <c r="I33" i="6"/>
  <c r="P45" i="2" s="1"/>
  <c r="I43" i="6"/>
  <c r="P44" i="2"/>
  <c r="AG6" i="2"/>
  <c r="AG18" i="2"/>
  <c r="B18" i="4"/>
  <c r="K18" i="4"/>
  <c r="U14" i="2" s="1"/>
  <c r="D12" i="14"/>
  <c r="D23" i="14" s="1"/>
  <c r="D9" i="8"/>
  <c r="D22" i="8" s="1"/>
  <c r="I54" i="2" s="1"/>
  <c r="D16" i="6"/>
  <c r="K6" i="2"/>
  <c r="K18" i="2"/>
  <c r="AJ6" i="2"/>
  <c r="AJ18" i="2"/>
  <c r="U14" i="3"/>
  <c r="N6" i="2"/>
  <c r="N18" i="2"/>
  <c r="U15" i="2"/>
  <c r="F14" i="3"/>
  <c r="F28" i="3"/>
  <c r="H22" i="3"/>
  <c r="D33" i="6"/>
  <c r="H45" i="2" s="1"/>
  <c r="H44" i="2"/>
  <c r="Q7" i="14"/>
  <c r="Q7" i="6"/>
  <c r="Q14" i="6" s="1"/>
  <c r="Q8" i="4"/>
  <c r="Q10" i="4" s="1"/>
  <c r="AD12" i="2"/>
  <c r="AD17" i="2" s="1"/>
  <c r="R20" i="3"/>
  <c r="AC15" i="2"/>
  <c r="P19" i="4"/>
  <c r="J16" i="4"/>
  <c r="Q15" i="4"/>
  <c r="S12" i="2"/>
  <c r="S17" i="2" s="1"/>
  <c r="K20" i="3"/>
  <c r="J12" i="14" s="1"/>
  <c r="J23" i="14" s="1"/>
  <c r="O28" i="3"/>
  <c r="Z12" i="2" s="1"/>
  <c r="Z17" i="2" s="1"/>
  <c r="C33" i="6"/>
  <c r="F45" i="2" s="1"/>
  <c r="F44" i="2"/>
  <c r="E7" i="14"/>
  <c r="E7" i="6"/>
  <c r="E14" i="6" s="1"/>
  <c r="J42" i="2" s="1"/>
  <c r="E8" i="4"/>
  <c r="E10" i="4" s="1"/>
  <c r="L7" i="4"/>
  <c r="L12" i="4" s="1"/>
  <c r="J12" i="2"/>
  <c r="J17" i="2" s="1"/>
  <c r="K7" i="4"/>
  <c r="D7" i="14"/>
  <c r="D7" i="6"/>
  <c r="D14" i="6" s="1"/>
  <c r="H42" i="2" s="1"/>
  <c r="D8" i="4"/>
  <c r="D10" i="4" s="1"/>
  <c r="H12" i="2"/>
  <c r="H17" i="2" s="1"/>
  <c r="Q33" i="6"/>
  <c r="AD45" i="2" s="1"/>
  <c r="Q43" i="6"/>
  <c r="AD44" i="2"/>
  <c r="D6" i="2"/>
  <c r="D18" i="2"/>
  <c r="I14" i="2"/>
  <c r="D19" i="4"/>
  <c r="E33" i="6"/>
  <c r="J45" i="2" s="1"/>
  <c r="J44" i="2"/>
  <c r="G62" i="6"/>
  <c r="N47" i="2" s="1"/>
  <c r="N46" i="2"/>
  <c r="C12" i="3"/>
  <c r="B30" i="6"/>
  <c r="H6" i="3"/>
  <c r="C14" i="3"/>
  <c r="H14" i="3" s="1"/>
  <c r="I18" i="4"/>
  <c r="Q14" i="2" s="1"/>
  <c r="C7" i="14"/>
  <c r="C7" i="6"/>
  <c r="C14" i="6" s="1"/>
  <c r="F42" i="2" s="1"/>
  <c r="C8" i="4"/>
  <c r="C10" i="4" s="1"/>
  <c r="J7" i="4"/>
  <c r="F12" i="2"/>
  <c r="F17" i="2" s="1"/>
  <c r="D20" i="3"/>
  <c r="I9" i="8"/>
  <c r="I12" i="14"/>
  <c r="Y18" i="2"/>
  <c r="Y6" i="2"/>
  <c r="M6" i="2"/>
  <c r="M18" i="2"/>
  <c r="P62" i="6"/>
  <c r="AC47" i="2" s="1"/>
  <c r="T61" i="6"/>
  <c r="AC46" i="2"/>
  <c r="N9" i="8" l="1"/>
  <c r="I22" i="8"/>
  <c r="E16" i="4"/>
  <c r="K12" i="2"/>
  <c r="K17" i="2" s="1"/>
  <c r="L15" i="4"/>
  <c r="F20" i="3"/>
  <c r="H28" i="3"/>
  <c r="N12" i="2" s="1"/>
  <c r="N17" i="2" s="1"/>
  <c r="C16" i="6"/>
  <c r="C12" i="14"/>
  <c r="C23" i="14" s="1"/>
  <c r="C9" i="8"/>
  <c r="C22" i="8" s="1"/>
  <c r="G54" i="2" s="1"/>
  <c r="Q44" i="6"/>
  <c r="AE45" i="2" s="1"/>
  <c r="AE44" i="2"/>
  <c r="V15" i="2"/>
  <c r="J24" i="14"/>
  <c r="S57" i="2" s="1"/>
  <c r="S56" i="2"/>
  <c r="AD14" i="2"/>
  <c r="Q11" i="4"/>
  <c r="D24" i="14"/>
  <c r="I57" i="2" s="1"/>
  <c r="I56" i="2"/>
  <c r="I25" i="6"/>
  <c r="P42" i="2"/>
  <c r="G30" i="6"/>
  <c r="B32" i="6"/>
  <c r="J14" i="2"/>
  <c r="E11" i="4"/>
  <c r="Q25" i="6"/>
  <c r="AE42" i="2" s="1"/>
  <c r="AD42" i="2"/>
  <c r="I44" i="6"/>
  <c r="Q45" i="2" s="1"/>
  <c r="Q44" i="2"/>
  <c r="I19" i="4"/>
  <c r="Q15" i="2"/>
  <c r="L32" i="6"/>
  <c r="N30" i="6"/>
  <c r="J12" i="4"/>
  <c r="J10" i="4"/>
  <c r="R14" i="2" s="1"/>
  <c r="B7" i="14"/>
  <c r="B7" i="6"/>
  <c r="B8" i="4"/>
  <c r="D12" i="2"/>
  <c r="D17" i="2" s="1"/>
  <c r="H12" i="3"/>
  <c r="I7" i="4"/>
  <c r="C20" i="3"/>
  <c r="Q20" i="4"/>
  <c r="T15" i="4"/>
  <c r="T20" i="4" s="1"/>
  <c r="Q18" i="4"/>
  <c r="AE14" i="2" s="1"/>
  <c r="K19" i="4"/>
  <c r="E14" i="2"/>
  <c r="B19" i="4"/>
  <c r="P12" i="14"/>
  <c r="P9" i="8"/>
  <c r="L7" i="14"/>
  <c r="L7" i="6"/>
  <c r="L8" i="4"/>
  <c r="V12" i="2"/>
  <c r="V17" i="2" s="1"/>
  <c r="M20" i="3"/>
  <c r="L12" i="14" s="1"/>
  <c r="L23" i="14" s="1"/>
  <c r="O12" i="3"/>
  <c r="F14" i="2"/>
  <c r="C11" i="4"/>
  <c r="H14" i="2"/>
  <c r="D11" i="4"/>
  <c r="J18" i="4"/>
  <c r="N16" i="4"/>
  <c r="T7" i="14"/>
  <c r="AI12" i="2"/>
  <c r="AI17" i="2" s="1"/>
  <c r="R16" i="4"/>
  <c r="AG12" i="2"/>
  <c r="AG17" i="2" s="1"/>
  <c r="S20" i="3"/>
  <c r="R9" i="8" s="1"/>
  <c r="R22" i="8" s="1"/>
  <c r="AG54" i="2" s="1"/>
  <c r="U28" i="3"/>
  <c r="AJ12" i="2" s="1"/>
  <c r="AJ17" i="2" s="1"/>
  <c r="R24" i="14"/>
  <c r="AG57" i="2" s="1"/>
  <c r="AI15" i="2"/>
  <c r="P11" i="4"/>
  <c r="AB15" i="2"/>
  <c r="T62" i="6"/>
  <c r="AJ47" i="2" s="1"/>
  <c r="AJ46" i="2"/>
  <c r="O20" i="3"/>
  <c r="P10" i="4"/>
  <c r="AB14" i="2" s="1"/>
  <c r="T8" i="4"/>
  <c r="T10" i="4" s="1"/>
  <c r="AI14" i="2" s="1"/>
  <c r="N12" i="14"/>
  <c r="N23" i="14" s="1"/>
  <c r="I23" i="14"/>
  <c r="K12" i="4"/>
  <c r="K10" i="4"/>
  <c r="T14" i="2" s="1"/>
  <c r="Q12" i="14"/>
  <c r="Q23" i="14" s="1"/>
  <c r="Q9" i="8"/>
  <c r="Q22" i="8" s="1"/>
  <c r="AE54" i="2" s="1"/>
  <c r="D25" i="6"/>
  <c r="I42" i="2" s="1"/>
  <c r="D35" i="6"/>
  <c r="D43" i="6" s="1"/>
  <c r="T7" i="6"/>
  <c r="P14" i="6"/>
  <c r="P33" i="6"/>
  <c r="AB45" i="2" s="1"/>
  <c r="T32" i="6"/>
  <c r="P43" i="6"/>
  <c r="AB44" i="2"/>
  <c r="L14" i="6" l="1"/>
  <c r="N7" i="6"/>
  <c r="G7" i="6"/>
  <c r="B14" i="6"/>
  <c r="C25" i="6"/>
  <c r="G42" i="2" s="1"/>
  <c r="C35" i="6"/>
  <c r="C43" i="6" s="1"/>
  <c r="P44" i="6"/>
  <c r="AC45" i="2" s="1"/>
  <c r="T43" i="6"/>
  <c r="AC44" i="2"/>
  <c r="Q24" i="14"/>
  <c r="AE57" i="2" s="1"/>
  <c r="AE56" i="2"/>
  <c r="T19" i="4"/>
  <c r="AJ15" i="2"/>
  <c r="T33" i="6"/>
  <c r="AI45" i="2" s="1"/>
  <c r="AI44" i="2"/>
  <c r="U20" i="3"/>
  <c r="Q19" i="4"/>
  <c r="AE15" i="2"/>
  <c r="E12" i="14"/>
  <c r="E23" i="14" s="1"/>
  <c r="E9" i="8"/>
  <c r="E22" i="8" s="1"/>
  <c r="K54" i="2" s="1"/>
  <c r="E16" i="6"/>
  <c r="K11" i="4"/>
  <c r="T15" i="2"/>
  <c r="R18" i="4"/>
  <c r="T16" i="4"/>
  <c r="T18" i="4" s="1"/>
  <c r="AJ14" i="2" s="1"/>
  <c r="T9" i="8"/>
  <c r="P22" i="8"/>
  <c r="B16" i="6"/>
  <c r="B12" i="14"/>
  <c r="B9" i="8"/>
  <c r="H20" i="3"/>
  <c r="J11" i="4"/>
  <c r="R15" i="2"/>
  <c r="Q42" i="2"/>
  <c r="L20" i="4"/>
  <c r="L18" i="4"/>
  <c r="W14" i="2" s="1"/>
  <c r="N15" i="4"/>
  <c r="N20" i="4" s="1"/>
  <c r="P25" i="6"/>
  <c r="T14" i="6"/>
  <c r="AI42" i="2" s="1"/>
  <c r="AB42" i="2"/>
  <c r="I24" i="14"/>
  <c r="Q57" i="2" s="1"/>
  <c r="Q56" i="2"/>
  <c r="Y12" i="2"/>
  <c r="Y17" i="2" s="1"/>
  <c r="N7" i="14"/>
  <c r="P23" i="14"/>
  <c r="T12" i="14"/>
  <c r="N7" i="4"/>
  <c r="N12" i="4" s="1"/>
  <c r="I12" i="4"/>
  <c r="I10" i="4"/>
  <c r="P14" i="2" s="1"/>
  <c r="N24" i="14"/>
  <c r="Z57" i="2" s="1"/>
  <c r="Z56" i="2"/>
  <c r="L24" i="14"/>
  <c r="W57" i="2" s="1"/>
  <c r="W56" i="2"/>
  <c r="M12" i="2"/>
  <c r="M17" i="2" s="1"/>
  <c r="G7" i="14"/>
  <c r="L43" i="6"/>
  <c r="L33" i="6"/>
  <c r="V45" i="2" s="1"/>
  <c r="V44" i="2"/>
  <c r="N32" i="6"/>
  <c r="E18" i="4"/>
  <c r="G16" i="4"/>
  <c r="G18" i="4" s="1"/>
  <c r="D44" i="6"/>
  <c r="I45" i="2" s="1"/>
  <c r="I44" i="2"/>
  <c r="T11" i="4"/>
  <c r="N22" i="8"/>
  <c r="Z54" i="2" s="1"/>
  <c r="Q54" i="2"/>
  <c r="S14" i="2"/>
  <c r="J19" i="4"/>
  <c r="L10" i="4"/>
  <c r="N8" i="4"/>
  <c r="N10" i="4" s="1"/>
  <c r="Y14" i="2" s="1"/>
  <c r="G8" i="4"/>
  <c r="G10" i="4" s="1"/>
  <c r="B10" i="4"/>
  <c r="D44" i="2"/>
  <c r="B33" i="6"/>
  <c r="D45" i="2" s="1"/>
  <c r="G32" i="6"/>
  <c r="C24" i="14"/>
  <c r="G57" i="2" s="1"/>
  <c r="G56" i="2"/>
  <c r="N11" i="4" l="1"/>
  <c r="Y15" i="2"/>
  <c r="AG14" i="2"/>
  <c r="R19" i="4"/>
  <c r="AJ44" i="2"/>
  <c r="T44" i="6"/>
  <c r="AJ45" i="2" s="1"/>
  <c r="V14" i="2"/>
  <c r="L11" i="4"/>
  <c r="T25" i="6"/>
  <c r="AJ42" i="2" s="1"/>
  <c r="AC42" i="2"/>
  <c r="G33" i="6"/>
  <c r="M45" i="2" s="1"/>
  <c r="M44" i="2"/>
  <c r="N14" i="2"/>
  <c r="G19" i="4"/>
  <c r="T23" i="14"/>
  <c r="P24" i="14"/>
  <c r="AC57" i="2" s="1"/>
  <c r="AC56" i="2"/>
  <c r="Z15" i="2"/>
  <c r="B22" i="8"/>
  <c r="G9" i="8"/>
  <c r="C44" i="6"/>
  <c r="G45" i="2" s="1"/>
  <c r="G44" i="2"/>
  <c r="E19" i="4"/>
  <c r="K14" i="2"/>
  <c r="G12" i="14"/>
  <c r="G23" i="14" s="1"/>
  <c r="B23" i="14"/>
  <c r="E35" i="6"/>
  <c r="E43" i="6" s="1"/>
  <c r="E25" i="6"/>
  <c r="K42" i="2" s="1"/>
  <c r="N33" i="6"/>
  <c r="Y45" i="2" s="1"/>
  <c r="Y44" i="2"/>
  <c r="L19" i="4"/>
  <c r="W15" i="2"/>
  <c r="G16" i="6"/>
  <c r="B35" i="6"/>
  <c r="B25" i="6"/>
  <c r="G14" i="6"/>
  <c r="M42" i="2" s="1"/>
  <c r="D42" i="2"/>
  <c r="T22" i="8"/>
  <c r="AJ54" i="2" s="1"/>
  <c r="AC54" i="2"/>
  <c r="E24" i="14"/>
  <c r="K57" i="2" s="1"/>
  <c r="K56" i="2"/>
  <c r="D14" i="2"/>
  <c r="B11" i="4"/>
  <c r="N18" i="4"/>
  <c r="Z14" i="2" s="1"/>
  <c r="M14" i="2"/>
  <c r="G11" i="4"/>
  <c r="L44" i="6"/>
  <c r="W45" i="2" s="1"/>
  <c r="W44" i="2"/>
  <c r="N43" i="6"/>
  <c r="I11" i="4"/>
  <c r="P15" i="2"/>
  <c r="V42" i="2"/>
  <c r="L25" i="6"/>
  <c r="N14" i="6"/>
  <c r="Y42" i="2" s="1"/>
  <c r="T24" i="14" l="1"/>
  <c r="AJ57" i="2" s="1"/>
  <c r="AJ56" i="2"/>
  <c r="W42" i="2"/>
  <c r="N25" i="6"/>
  <c r="Z42" i="2" s="1"/>
  <c r="G25" i="6"/>
  <c r="N42" i="2" s="1"/>
  <c r="E42" i="2"/>
  <c r="E44" i="6"/>
  <c r="K45" i="2" s="1"/>
  <c r="K44" i="2"/>
  <c r="G22" i="8"/>
  <c r="N54" i="2" s="1"/>
  <c r="E54" i="2"/>
  <c r="G35" i="6"/>
  <c r="B43" i="6"/>
  <c r="B24" i="14"/>
  <c r="E57" i="2" s="1"/>
  <c r="E56" i="2"/>
  <c r="N19" i="4"/>
  <c r="N44" i="6"/>
  <c r="Z45" i="2" s="1"/>
  <c r="Z44" i="2"/>
  <c r="G24" i="14"/>
  <c r="N57" i="2" s="1"/>
  <c r="N56" i="2"/>
  <c r="B44" i="6" l="1"/>
  <c r="E45" i="2" s="1"/>
  <c r="E44" i="2"/>
  <c r="G43" i="6"/>
  <c r="G44" i="6" l="1"/>
  <c r="N45" i="2" s="1"/>
  <c r="N44" i="2"/>
</calcChain>
</file>

<file path=xl/sharedStrings.xml><?xml version="1.0" encoding="utf-8"?>
<sst xmlns="http://schemas.openxmlformats.org/spreadsheetml/2006/main" count="582" uniqueCount="305">
  <si>
    <t>Tabs</t>
  </si>
  <si>
    <t>Summary Metrics</t>
  </si>
  <si>
    <t>Revenue Metrics</t>
  </si>
  <si>
    <t>Constant Currency</t>
  </si>
  <si>
    <t>Cloud Metrics</t>
  </si>
  <si>
    <t>Operating Expenses</t>
  </si>
  <si>
    <t xml:space="preserve">Gross Profit </t>
  </si>
  <si>
    <t>Footnotes</t>
  </si>
  <si>
    <t>Supplemental Information About Non-GAAP Financial Measures</t>
  </si>
  <si>
    <t xml:space="preserve">    </t>
  </si>
  <si>
    <t>Three Months Ended</t>
  </si>
  <si>
    <t xml:space="preserve">Three Months Ended </t>
  </si>
  <si>
    <t>GAAP to Non-GAAP Reconciliation</t>
  </si>
  <si>
    <t>($ in millions)</t>
  </si>
  <si>
    <t>GAAP</t>
  </si>
  <si>
    <t>Non-GAAP/        Operating Metric</t>
  </si>
  <si>
    <t xml:space="preserve">Revenue Metrics </t>
  </si>
  <si>
    <t>Recurring Revenue</t>
  </si>
  <si>
    <t xml:space="preserve">   Cloud</t>
  </si>
  <si>
    <t xml:space="preserve">   Support </t>
  </si>
  <si>
    <t>Nonrecurring Revenue</t>
  </si>
  <si>
    <t xml:space="preserve">   Perpetual</t>
  </si>
  <si>
    <t xml:space="preserve">   Professional Services</t>
  </si>
  <si>
    <t>Total Revenue</t>
  </si>
  <si>
    <t>Reported Revenue Growth</t>
  </si>
  <si>
    <t>Constant Currency Revenue Growth</t>
  </si>
  <si>
    <t>Recurring Revenue Mix</t>
  </si>
  <si>
    <t>% of Revenue that is Software Revenue</t>
  </si>
  <si>
    <t>% of Software Revenue that is Recurring Revenue*</t>
  </si>
  <si>
    <t>Bookings Metrics</t>
  </si>
  <si>
    <t>New SaaS ACV</t>
  </si>
  <si>
    <t>New SaaS ACV Growth YoY</t>
  </si>
  <si>
    <t>Year-over-Year Growth</t>
  </si>
  <si>
    <t>Cloud Detail</t>
  </si>
  <si>
    <t>Cloud Revenue</t>
  </si>
  <si>
    <t xml:space="preserve">  SaaS Bundled Revenue</t>
  </si>
  <si>
    <t xml:space="preserve">  SaaS Unbundled Revenue</t>
  </si>
  <si>
    <t xml:space="preserve">  Optional Managed Services Revenue</t>
  </si>
  <si>
    <t>Cloud Revenue Growth YoY</t>
  </si>
  <si>
    <t>SaaS Revenue Growth YoY</t>
  </si>
  <si>
    <t>Operating Expense 
Metrics</t>
  </si>
  <si>
    <t xml:space="preserve">   % of Revenue</t>
  </si>
  <si>
    <t>Profitability 
Metrics</t>
  </si>
  <si>
    <t>4/30/2020</t>
  </si>
  <si>
    <t>1/31/2021</t>
  </si>
  <si>
    <t xml:space="preserve">   Perpetual revenue - GAAP</t>
  </si>
  <si>
    <t xml:space="preserve">   Cloud revenue - GAAP</t>
  </si>
  <si>
    <t xml:space="preserve">   Support revenue -  GAAP </t>
  </si>
  <si>
    <t>Total revenue - GAAP</t>
  </si>
  <si>
    <t xml:space="preserve">   Estimated perpetual revenue adjustments</t>
  </si>
  <si>
    <t xml:space="preserve">   Estimated cloud revenue adjustments</t>
  </si>
  <si>
    <t xml:space="preserve">   Estimated support revenue adjustments</t>
  </si>
  <si>
    <t>Total estimated revenue adjustments</t>
  </si>
  <si>
    <t xml:space="preserve">   Perpetual revenue - non-GAAP</t>
  </si>
  <si>
    <t xml:space="preserve">   Cloud revenue - non-GAAP</t>
  </si>
  <si>
    <t xml:space="preserve">   Support revenue -  non-GAAP </t>
  </si>
  <si>
    <t>Total revenue - non-GAAP</t>
  </si>
  <si>
    <t>Revenue for the three months ended prior period</t>
  </si>
  <si>
    <t>Revenue for the three months ended current period</t>
  </si>
  <si>
    <t>Reported period-over-period revenue growth</t>
  </si>
  <si>
    <t>% impact from change in foreign currency exchange rates</t>
  </si>
  <si>
    <t>Constant currency period-over-period revenue growth</t>
  </si>
  <si>
    <t>Non-GAAP</t>
  </si>
  <si>
    <t xml:space="preserve">   SaaS revenue - GAAP</t>
  </si>
  <si>
    <t xml:space="preserve">      Bundled SaaS revenue - GAAP</t>
  </si>
  <si>
    <t xml:space="preserve">   Optional managed services revenue -  GAAP </t>
  </si>
  <si>
    <t xml:space="preserve">   Estimated SaaS revenue adjustments</t>
  </si>
  <si>
    <t xml:space="preserve">      Estimated bundled SaaS revenue adjustments</t>
  </si>
  <si>
    <t xml:space="preserve">      Estimated unbundled SaaS revenue adjustments</t>
  </si>
  <si>
    <t xml:space="preserve">   Estimated optional managed services revenue adjustments</t>
  </si>
  <si>
    <t>Estimated cloud revenue adjustments</t>
  </si>
  <si>
    <t xml:space="preserve">   SaaS revenue - non-GAAP</t>
  </si>
  <si>
    <t xml:space="preserve">      Bundled SaaS revenue - non-GAAP</t>
  </si>
  <si>
    <t xml:space="preserve">   Optional managed services revenue - non-GAAP </t>
  </si>
  <si>
    <t>Total GAAP revenue</t>
  </si>
  <si>
    <t>Amortization of acquired technology</t>
  </si>
  <si>
    <t>Total GAAP cost of revenue</t>
  </si>
  <si>
    <t>GAAP gross profit</t>
  </si>
  <si>
    <t xml:space="preserve">    GAAP gross margin</t>
  </si>
  <si>
    <t>Revenue adjustments</t>
  </si>
  <si>
    <t>Research and Development, net</t>
  </si>
  <si>
    <t>GAAP research and development, net</t>
  </si>
  <si>
    <t xml:space="preserve">     as a % of GAAP revenue</t>
  </si>
  <si>
    <t xml:space="preserve">     as a % of non-GAAP revenue</t>
  </si>
  <si>
    <t>Selling, General and Administrative expenses</t>
  </si>
  <si>
    <t>GAAP selling, general and administrative expenses</t>
  </si>
  <si>
    <t xml:space="preserve">   GAAP operating margin</t>
  </si>
  <si>
    <t>Amortization of other acquired intangible assets</t>
  </si>
  <si>
    <t>Stock-based compensation expenses</t>
  </si>
  <si>
    <t>Restructuring expenses</t>
  </si>
  <si>
    <t>Impairment charges</t>
  </si>
  <si>
    <t>Other adjustments</t>
  </si>
  <si>
    <t>Note: Amounts may not foot throughout the workbook due to rounding.</t>
  </si>
  <si>
    <t>Revenue for the current period at constant currency is calculated by translating current-period GAAP or non-GAAP foreign currency revenue (as applicable) into U.S. dollars using average foreign currency exchange rates for the same prior period rather than actual current-period foreign currency exchange rates.</t>
  </si>
  <si>
    <t>We believe these non-GAAP financial measures, used in conjunction with the corresponding GAAP measures, provide investors with useful supplemental information about the financial performance of our business by:</t>
  </si>
  <si>
    <t>We also make these non-GAAP financial measures available because a number of our investors have informed us that they find this supplemental information useful.</t>
  </si>
  <si>
    <t>Our non-GAAP financial measures are calculated by making the following adjustments to our GAAP financial measures:</t>
  </si>
  <si>
    <t>Cloud revenue primarily consists of SaaS and optional managed services.</t>
  </si>
  <si>
    <t xml:space="preserve">SaaS revenue includes bundled SaaS, software with standard managed services and unbundled SaaS (including associated support) that we account for as term licenses where managed services are purchased separately. </t>
  </si>
  <si>
    <t>New SaaS Annual Contract Value (ACV) includes the annualized contract value of all new SaaS contracts received within the period; in cases where SaaS is offered to partners through usage-based contracts, we include the incremental value of usage contracts over a rolling four quarters.</t>
  </si>
  <si>
    <t>Adjusted EBITDA</t>
  </si>
  <si>
    <t>Net Debt</t>
  </si>
  <si>
    <t>Supplemental Information About Constant Currency</t>
  </si>
  <si>
    <t>4/30/2021</t>
  </si>
  <si>
    <t xml:space="preserve">Summary Metrics </t>
  </si>
  <si>
    <t>Gross Profit</t>
  </si>
  <si>
    <t xml:space="preserve">   Gross Margin %</t>
  </si>
  <si>
    <t xml:space="preserve">   Operating Margin %</t>
  </si>
  <si>
    <t xml:space="preserve">Adjusted EBITDA </t>
  </si>
  <si>
    <t xml:space="preserve">   Adjusted EBITDA Margin</t>
  </si>
  <si>
    <t xml:space="preserve">Selling, General and Administrative </t>
  </si>
  <si>
    <t>Other Expense Reconciliation</t>
  </si>
  <si>
    <t>Amortization of convertible note discount</t>
  </si>
  <si>
    <t>Acquisition expenses, net</t>
  </si>
  <si>
    <t>Tax Provision (Benefit) Reconciliation</t>
  </si>
  <si>
    <t xml:space="preserve">   GAAP effective income tax rate</t>
  </si>
  <si>
    <t>Non-GAAP tax adjustments</t>
  </si>
  <si>
    <t>Non-GAAP provision for income taxes</t>
  </si>
  <si>
    <t xml:space="preserve">   Non-GAAP effective income tax rate</t>
  </si>
  <si>
    <t>GAAP (Benefit) Provision for income taxes</t>
  </si>
  <si>
    <t>GAAP pre-tax income (Income/loss before provision (benefit) income taxes)</t>
  </si>
  <si>
    <t>GAAP effective income tax rate</t>
  </si>
  <si>
    <t>Non-GAAP pre tax income</t>
  </si>
  <si>
    <t>Non GAAP effective income tax rate</t>
  </si>
  <si>
    <t>($ in millions, except share and per share data; shares in thousands)</t>
  </si>
  <si>
    <t>Consolidated Debt</t>
  </si>
  <si>
    <t>As of</t>
  </si>
  <si>
    <t>Current maturities of long-term debt</t>
  </si>
  <si>
    <t>Long-term debt</t>
  </si>
  <si>
    <t>Unamortized debt discounts and issuance costs</t>
  </si>
  <si>
    <t>Gross debt</t>
  </si>
  <si>
    <t>Less:</t>
  </si>
  <si>
    <t>Cash and cash equivalents</t>
  </si>
  <si>
    <t>Restricted cash and cash equivalents, and restricted bank time deposits</t>
  </si>
  <si>
    <t>Short-term investments</t>
  </si>
  <si>
    <t>Long-term restricted cash, cash equivalents, bank time deposits and investments</t>
  </si>
  <si>
    <t>Net debt, including long-term restricted cash, cash equivalents, bank time deposits, and investments</t>
  </si>
  <si>
    <t>Constant Currency tab</t>
  </si>
  <si>
    <t>Cloud Metrics tab</t>
  </si>
  <si>
    <t>Operating Expenses tab</t>
  </si>
  <si>
    <t>Gross Profit tab</t>
  </si>
  <si>
    <t>Operating &amp; EBITDA Margins tab</t>
  </si>
  <si>
    <t>Recurring revenue- GAAP</t>
  </si>
  <si>
    <t xml:space="preserve"> Revenue Metrics</t>
  </si>
  <si>
    <t>Nonrecurring revenue - GAAP</t>
  </si>
  <si>
    <t xml:space="preserve">   Professional services revenue - GAAP</t>
  </si>
  <si>
    <t>Estimated recurring revenue adjustments</t>
  </si>
  <si>
    <t xml:space="preserve">   Professional services revenue - non-GAAP</t>
  </si>
  <si>
    <t>Recurring revenue- non-GAAP</t>
  </si>
  <si>
    <t>Nonrecurring revenue - non-GAAP</t>
  </si>
  <si>
    <t xml:space="preserve">   Estimated professional services revenue adjustments</t>
  </si>
  <si>
    <t>Estimated nonrecurring revenue adjustments</t>
  </si>
  <si>
    <t xml:space="preserve">Other Adjustments </t>
  </si>
  <si>
    <t>Discontinued operations corporate overhead adjustment</t>
  </si>
  <si>
    <t>Allocation methodology difference</t>
  </si>
  <si>
    <t>Non-GAAP research and development, net</t>
  </si>
  <si>
    <t>Non-GAAP selling, general and administrative expenses</t>
  </si>
  <si>
    <t>Non-GAAP operating income</t>
  </si>
  <si>
    <t xml:space="preserve">   Non-GAAP operating margin</t>
  </si>
  <si>
    <t>Non-GAAP gross profit</t>
  </si>
  <si>
    <t xml:space="preserve">    Non-GAAP gross margin</t>
  </si>
  <si>
    <t>Recurring costs</t>
  </si>
  <si>
    <t>Nonrecurring costs</t>
  </si>
  <si>
    <t>Operating Margins</t>
  </si>
  <si>
    <t>GAAP recurring revenue</t>
  </si>
  <si>
    <t>GAAP recurring costs</t>
  </si>
  <si>
    <t>GAAP recurring gross profit</t>
  </si>
  <si>
    <t>GAAP recurring gross margin</t>
  </si>
  <si>
    <t>Recurring revenue adjustments</t>
  </si>
  <si>
    <t>Recurring stock-based compensation expenses</t>
  </si>
  <si>
    <t>Recurring acquisition expenses, net</t>
  </si>
  <si>
    <t>Recurring restructuring expenses</t>
  </si>
  <si>
    <t>Recurring discontinued operations corporate overhead adjustment</t>
  </si>
  <si>
    <t>Recurring allocation methodology difference</t>
  </si>
  <si>
    <t>Non-GAAP recurring gross profit</t>
  </si>
  <si>
    <t>Non-GAAP recurring gross margin</t>
  </si>
  <si>
    <t>GAAP nonrecurring revenue</t>
  </si>
  <si>
    <t>GAAP nonrecurring costs</t>
  </si>
  <si>
    <t>GAAP nonrecurring gross profit</t>
  </si>
  <si>
    <t>GAAP nonrecurring gross margin</t>
  </si>
  <si>
    <t>Nonrecurring revenue adjustments</t>
  </si>
  <si>
    <t>Nonrecurring stock-based compensation expenses</t>
  </si>
  <si>
    <t>Nonrecurring discontinued operations corporate overhead adjustment</t>
  </si>
  <si>
    <t>Nonrecurring allocation methodology difference</t>
  </si>
  <si>
    <t>Non-GAAP nonrecurring gross profit</t>
  </si>
  <si>
    <t>Non-GAAP nonrecurring gross margin</t>
  </si>
  <si>
    <t xml:space="preserve">   As a percentage of GAAP revenue</t>
  </si>
  <si>
    <t>Other expense, net</t>
  </si>
  <si>
    <t xml:space="preserve">   As a percentage of non-GAAP revenue</t>
  </si>
  <si>
    <t>Unrealized losses on derivatives, net</t>
  </si>
  <si>
    <t>Change in fair value of future tranche right</t>
  </si>
  <si>
    <t>Other Expense, Tax and Net Income</t>
  </si>
  <si>
    <t>Operating (Loss) Income</t>
  </si>
  <si>
    <t>Gross Profit and Gross Margin</t>
  </si>
  <si>
    <t>Recurring Gross Profit and Gross Margin</t>
  </si>
  <si>
    <t>Nonrecurring Gross Profit and Gross Margin</t>
  </si>
  <si>
    <t>Depreciation and amortization (3)</t>
  </si>
  <si>
    <t>(1)</t>
  </si>
  <si>
    <t>(2)</t>
  </si>
  <si>
    <t>(3)</t>
  </si>
  <si>
    <t>Represents depreciation and amortization expenses that are adjusted for financing fee amortization.</t>
  </si>
  <si>
    <t>Supplemental Information About Non-GAAP Financial Measures and Operating Metrics</t>
  </si>
  <si>
    <t xml:space="preserve">EPS and Diluted Shares Outstanding </t>
  </si>
  <si>
    <t>Gross Profit Metrics</t>
  </si>
  <si>
    <t>Recurring Gross Profit</t>
  </si>
  <si>
    <t xml:space="preserve">   Recurring Gross Margin %</t>
  </si>
  <si>
    <t>Nonrecurring Gross Profit</t>
  </si>
  <si>
    <t xml:space="preserve">   Nonrecurring Gross Margin %</t>
  </si>
  <si>
    <t>EBITDA Margins</t>
  </si>
  <si>
    <t>Other Expense, Tax &amp; NI</t>
  </si>
  <si>
    <t>EPS &amp; DSO</t>
  </si>
  <si>
    <t>Debt</t>
  </si>
  <si>
    <t>Table of Contents</t>
  </si>
  <si>
    <t>Revenue Metrics Tab</t>
  </si>
  <si>
    <t>Net (Loss) Income from Continuing Operations Attributable to Verint Systems Inc. Common Shares Reconciliation</t>
  </si>
  <si>
    <t>GAAP diluted net loss from continuing operations per common share attributable to Verint Systems Inc.</t>
  </si>
  <si>
    <t>Non-GAAP net income from continuing operations attributable to Verint Systems Inc.common shares</t>
  </si>
  <si>
    <t>Revenue Metrics and Operating Metrics</t>
  </si>
  <si>
    <t>GAAP provision for (benefit from) income taxes</t>
  </si>
  <si>
    <t>Provision for (benefit from) income taxes</t>
  </si>
  <si>
    <t>GAAP weighted-average shares used in computing diluted net loss from continuing operations per common share</t>
  </si>
  <si>
    <t>Additional weighted-average shares applicable to non-GAAP net income from continuing operations per common share attributable to Verint Systems Inc</t>
  </si>
  <si>
    <t>Recurring revenue, on both a GAAP and non-GAAP basis, is the portion of our revenue that we believe is likely to be renewed in the future, and primarily consists of cloud revenue and initial and renewal post contract support.</t>
  </si>
  <si>
    <t>Diluted EPS</t>
  </si>
  <si>
    <t>EPS &amp; DSO tab</t>
  </si>
  <si>
    <t>Acquisition benefit (expenses), net</t>
  </si>
  <si>
    <t>Acquisitions (benefit) expenses, net</t>
  </si>
  <si>
    <t>Acquisition expenses (benefit), net</t>
  </si>
  <si>
    <t>% of New Perpetual License Equivalent Bookings from SaaS</t>
  </si>
  <si>
    <t>7/31/2020</t>
  </si>
  <si>
    <t>7/31/2021</t>
  </si>
  <si>
    <t>Expenses and losses on debt modification or retirement</t>
  </si>
  <si>
    <t>(4)</t>
  </si>
  <si>
    <t>Non-GAAP diluted weighted-average shares used in computing net income from continuing operations per common share (4)</t>
  </si>
  <si>
    <t>Non-GAAP diluted net income from continuing operations per common share attributable to Verint Systems Inc. (4)</t>
  </si>
  <si>
    <t>EPS calculation includes the more dilutive of either preferred stock dividends or conversion of preferred stock shares.</t>
  </si>
  <si>
    <t>Separation expenses (2)</t>
  </si>
  <si>
    <t>Recurring separation expenses (2)</t>
  </si>
  <si>
    <t>Nonrecurring separation expenses (2)</t>
  </si>
  <si>
    <t xml:space="preserve">      Unbundled SaaS revenue - GAAP</t>
  </si>
  <si>
    <t xml:space="preserve">      Unbundled SaaS revenue - non-GAAP</t>
  </si>
  <si>
    <t>10/31/2020</t>
  </si>
  <si>
    <t>10/31/2021</t>
  </si>
  <si>
    <t>Recurring impairment charges</t>
  </si>
  <si>
    <t>Nonrecurring impairment charges</t>
  </si>
  <si>
    <t>Net Debt is a non-GAAP measure defined as the sum of long-term and short-term debt on our consolidated balance sheet, excluding unamortized discounts and issuance costs, less the sum of cash and cash equivalents, restricted cash, restricted cash equivalents, restricted bank time deposits, and restricted investments (including long-term portions), and short-term investments. We use this non-GAAP financial measure to help evaluate our capital structure, financial leverage, and our ability to reduce debt and to fund investing and financing activities and believe that it provides useful information to investors.</t>
  </si>
  <si>
    <t>1/31/2022</t>
  </si>
  <si>
    <t>Year Ended</t>
  </si>
  <si>
    <t>For the quarters ended April 30, 2020, July 31, 2020, October 31, 2020 and January 31, 2021, separation expenses are considered part of discontinued operations and are, therefore, not included in the reported results from continuing operations.</t>
  </si>
  <si>
    <t xml:space="preserve">Year Ended </t>
  </si>
  <si>
    <t>GAAP net (loss) income from continuing operations attributable to Verint Systems Inc. common shares</t>
  </si>
  <si>
    <t>Total GAAP net (loss) income adjustments (4)</t>
  </si>
  <si>
    <t xml:space="preserve">   •facilitating the comparison of our financial results and business trends between periods, by excluding certain items that either can vary significantly in amount and frequency, are based upon subjective assumptions, or in certain cases are unplanned for or difficult to forecast,</t>
  </si>
  <si>
    <t xml:space="preserve">   •facilitating the comparison of our financial results and business trends with other technology companies who publish similar non-GAAP measures, and</t>
  </si>
  <si>
    <t xml:space="preserve">   •allowing investors to see and understand key supplementary metrics used by our management to run our business, including for budgeting and forecasting, resource allocation, and compensation matters.</t>
  </si>
  <si>
    <r>
      <t xml:space="preserve">   •</t>
    </r>
    <r>
      <rPr>
        <b/>
        <i/>
        <sz val="13"/>
        <rFont val="Arial"/>
        <family val="2"/>
      </rPr>
      <t xml:space="preserve">Revenue adjustments. </t>
    </r>
    <r>
      <rPr>
        <sz val="13"/>
        <rFont val="Arial"/>
        <family val="2"/>
      </rPr>
      <t>We exclude from our non-GAAP revenue the impact of fair value adjustments required under GAAP relating to cloud services and customer support contracts acquired in a business acquisition, which would have otherwise been recognized on a stand-alone basis. We believe that it is useful for investors to understand the total amount of revenue that we and the acquired company would have recognized on a stand-alone basis under GAAP, absent the accounting adjustment associated with the business acquisition.  Our non-GAAP revenue also reflects certain adjustments from aligning an acquired company’s revenue recognition policies to our policies.  We believe that our non-GAAP revenue measure helps management and investors understand our revenue trends and serves as a useful measure of ongoing business performance.</t>
    </r>
  </si>
  <si>
    <r>
      <t xml:space="preserve">   •</t>
    </r>
    <r>
      <rPr>
        <b/>
        <i/>
        <sz val="13"/>
        <rFont val="Arial"/>
        <family val="2"/>
      </rPr>
      <t>Amortization of acquired technology and other acquired intangible assets</t>
    </r>
    <r>
      <rPr>
        <sz val="13"/>
        <rFont val="Arial"/>
        <family val="2"/>
      </rPr>
      <t>. When we acquire an entity, we are required under GAAP to record the fair values of the intangible assets of the acquired entity and amortize those assets over their useful lives. We exclude the amortization of acquired intangible assets, including acquired technology, from our non-GAAP financial measures because they are inconsistent in amount and frequency and are significantly impacted by the timing and size of acquisitions. We also exclude these amounts to provide easier comparability of pre- and post-acquisition operating results.</t>
    </r>
  </si>
  <si>
    <r>
      <t xml:space="preserve">   •</t>
    </r>
    <r>
      <rPr>
        <b/>
        <i/>
        <sz val="13"/>
        <rFont val="Arial"/>
        <family val="2"/>
      </rPr>
      <t xml:space="preserve">Unrealized gains and losses on certain derivatives, net.  </t>
    </r>
    <r>
      <rPr>
        <sz val="13"/>
        <rFont val="Arial"/>
        <family val="2"/>
      </rPr>
      <t>We exclude from our non-GAAP financial measures unrealized gains and losses on certain derivatives which are not designated as hedges under accounting guidance. We exclude unrealized gains and losses on foreign currency derivatives that serve as economic hedges against variability in the cash flows of recognized assets or liabilities, or of forecasted transactions. These contracts, if designated as hedges under accounting guidance, would be considered “cash flow” hedges.  These unrealized gains and losses are excluded from our non-GAAP financial measures because they are non-cash transactions which are highly variable from period to period. Upon settlement of these foreign currency derivatives, any realized gain or loss is included in our non-GAAP financial measures.</t>
    </r>
  </si>
  <si>
    <r>
      <t xml:space="preserve">   •</t>
    </r>
    <r>
      <rPr>
        <b/>
        <i/>
        <sz val="13"/>
        <rFont val="Arial"/>
        <family val="2"/>
      </rPr>
      <t xml:space="preserve">Amortization of convertible note discount. </t>
    </r>
    <r>
      <rPr>
        <sz val="13"/>
        <rFont val="Arial"/>
        <family val="2"/>
      </rPr>
      <t>Our non-GAAP financial measures for periods prior to February 1, 2021 exclude the amortization of the imputed discount on our convertible notes. Under GAAP, certain convertible debt instruments that may be settled in cash upon conversion were required to be bifurcated into separate liability (debt) and equity (conversion option) components in a manner that reflected the issuer’s assumed non-convertible debt borrowing rate. For GAAP purposes, we were required to recognize imputed interest expense on the difference between our assumed non-convertible debt borrowing rate and the coupon rate on our 1.50% convertible notes. This difference is excluded from our non-GAAP financial measures because we believe that this expense is based upon subjective assumptions and does not reflect the cash cost of our convertible debt. Effective with the February 1, 2021 adoption of Accounting Standards Update ("ASU") 2020-06, Accounting for Convertible Instruments and Contracts in an Entity’s Own Equity, we no longer record the conversion feature of our convertible senior notes in equity. Instead, we combined the previously separated equity component with the liability component, which together is classified as debt, thereby eliminating the subsequent amortization of the debt discount as interest expense.</t>
    </r>
  </si>
  <si>
    <r>
      <t xml:space="preserve">   • </t>
    </r>
    <r>
      <rPr>
        <b/>
        <i/>
        <sz val="13"/>
        <rFont val="Arial"/>
        <family val="2"/>
      </rPr>
      <t xml:space="preserve">Expenses and losses on debt modification or retirement. </t>
    </r>
    <r>
      <rPr>
        <sz val="13"/>
        <rFont val="Arial"/>
        <family val="2"/>
      </rPr>
      <t>We exclude from our non-GAAP financial measures losses on early retirements of debt attributable to refinancing or repaying our debt, and expenses incurred to modify debt terms, because we believe they are not reflective of our ongoing operations.</t>
    </r>
  </si>
  <si>
    <r>
      <t xml:space="preserve">   •</t>
    </r>
    <r>
      <rPr>
        <b/>
        <i/>
        <sz val="13"/>
        <rFont val="Arial"/>
        <family val="2"/>
      </rPr>
      <t xml:space="preserve">Acquisition expenses (benefit), net. </t>
    </r>
    <r>
      <rPr>
        <sz val="13"/>
        <rFont val="Arial"/>
        <family val="2"/>
      </rPr>
      <t>In connection with acquisition activity (including with respect to acquisitions that are not consummated), we incur expenses (benefits), including legal, accounting, and other professional fees, integration costs, changes in the fair value of contingent consideration obligations, and other costs.  Integration costs may consist of information technology expenses as systems are integrated across the combined entity, consulting expenses, marketing expenses, and professional fees, as well as non-cash charges to write-off or impair the value of redundant assets.  We exclude these expenses from our non-GAAP financial measures because they are unpredictable, can vary based on the size and complexity of each transaction, and are unrelated to our continuing operations or to the continuing operations of the acquired businesses.</t>
    </r>
  </si>
  <si>
    <r>
      <rPr>
        <b/>
        <i/>
        <sz val="13"/>
        <rFont val="Arial"/>
        <family val="2"/>
      </rPr>
      <t xml:space="preserve">   •Discontinued operations corporate overhead adjustment</t>
    </r>
    <r>
      <rPr>
        <i/>
        <sz val="13"/>
        <rFont val="Arial"/>
        <family val="2"/>
      </rPr>
      <t xml:space="preserve">. </t>
    </r>
    <r>
      <rPr>
        <sz val="13"/>
        <rFont val="Arial"/>
        <family val="2"/>
      </rPr>
      <t>These amounts represent general corporate overhead costs related to executive management, finance, legal, information technology, and other shared services functions that were historically allocated to Cognyte, but are not permitted to be included in discontinued operations under GAAP guidelines as they represent indirect expenses of Cognyte.</t>
    </r>
  </si>
  <si>
    <r>
      <t xml:space="preserve">  </t>
    </r>
    <r>
      <rPr>
        <b/>
        <i/>
        <sz val="13"/>
        <rFont val="Arial"/>
        <family val="2"/>
      </rPr>
      <t xml:space="preserve"> •Allocation methodology difference</t>
    </r>
    <r>
      <rPr>
        <i/>
        <sz val="13"/>
        <rFont val="Arial"/>
        <family val="2"/>
      </rPr>
      <t xml:space="preserve">. </t>
    </r>
    <r>
      <rPr>
        <sz val="13"/>
        <rFont val="Arial"/>
        <family val="2"/>
      </rPr>
      <t xml:space="preserve">These amounts are the result of presenting our former Cyber Intelligence Solutions business on a discontinued operations basis for quarters previously reported due to the completion of the spin-off on February 1, 2021. This adjustment represents the difference between the allocation of shared corporate support expenses under GAAP guidelines for reporting discontinued operations compared to management’s previously estimated allocations of those shared corporate support expenses.      </t>
    </r>
    <r>
      <rPr>
        <i/>
        <sz val="13"/>
        <rFont val="Arial"/>
        <family val="2"/>
      </rPr>
      <t xml:space="preserve">    </t>
    </r>
  </si>
  <si>
    <t>Percentage of Software Revenue that is Recurring Revenue is calculated as the sum of cloud and support revenue as a percentage of total cloud, support, and perpetual revenue.</t>
  </si>
  <si>
    <t>Accelerated lease costs (5)</t>
  </si>
  <si>
    <t>(5)</t>
  </si>
  <si>
    <t xml:space="preserve">Accelerated lease costs were previously included within Restructuring expenses for the three months ended April 30, 2020, July 31, 2020, October 31, 2020, April 30, 2021, July 31, 2021 and October 31, 2021. </t>
  </si>
  <si>
    <t>4/30/2022</t>
  </si>
  <si>
    <t>GAAP operating (loss) income</t>
  </si>
  <si>
    <t>GAAP net (loss) income from continuing operations</t>
  </si>
  <si>
    <t>GAAP other (expense) income, net</t>
  </si>
  <si>
    <t>Non-GAAP other (expense) income, net</t>
  </si>
  <si>
    <t>Optional Managed Services are recurring services that are intended to improve our customers operations and reduce expenses.</t>
  </si>
  <si>
    <r>
      <t xml:space="preserve">   •</t>
    </r>
    <r>
      <rPr>
        <b/>
        <i/>
        <sz val="13"/>
        <rFont val="Arial"/>
        <family val="2"/>
      </rPr>
      <t xml:space="preserve">Stock-based compensation expenses. </t>
    </r>
    <r>
      <rPr>
        <sz val="13"/>
        <rFont val="Arial"/>
        <family val="2"/>
      </rPr>
      <t>We exclude stock-based compensation expenses related to restricted stock unit and performance stock unit awards, stock bonus programs, bonus share programs, and other stock-based awards from our non-GAAP financial measures. We evaluate our performance both with and without these measures because stock-based compensation is typically a non-cash expense and can vary significantly over time based on the timing, size and nature of awards granted, and is influenced in part by certain factors which are generally beyond our control, such as the volatility of the price of our common stock. In addition, measurement of stock-based compensation is subject to varying valuation methodologies and subjective assumptions, and therefore we believe that excluding stock-based compensation from our non-GAAP financial measures allows for meaningful comparisons of our current operating results to our historical operating results and to other companies in our industry.</t>
    </r>
  </si>
  <si>
    <r>
      <t xml:space="preserve">  • </t>
    </r>
    <r>
      <rPr>
        <b/>
        <i/>
        <sz val="13"/>
        <rFont val="Arial"/>
        <family val="2"/>
      </rPr>
      <t>Change in fair value of future tranche right.</t>
    </r>
    <r>
      <rPr>
        <b/>
        <sz val="13"/>
        <rFont val="Arial"/>
        <family val="2"/>
      </rPr>
      <t xml:space="preserve"> </t>
    </r>
    <r>
      <rPr>
        <sz val="13"/>
        <rFont val="Arial"/>
        <family val="2"/>
      </rPr>
      <t>On December 4, 2019, we entered into an Investment Agreement with an affiliate of Apax Partners (the “Apax Investor”), whereby the Apax Investor agreed to make an investment in us of up to $400.0 million of convertible preferred stock. In connection with the Apax Investor’s first $200.0 million investment on May 7, 2020 (for 200,000 shares of Series A Preferred Stock), we determined that our obligation to issue, and the Apax Investor’s obligation to purchase the Series B Preferred Stock in connection with the completion of the spin-off of our former Cyber Intelligence Solutions business and the satisfaction of other customary closing conditions (the “Future Tranche Right”) met the definition of a freestanding financial instrument. This Future Tranche Right was reported at fair value as an asset or liability on our consolidated balance sheet and was remeasured at fair value each reporting period until the settlement of the right at the time of issuance of the Series B Preferred Stock, which occurred on April 6, 2021. Changes in its fair value were recognized as a non-cash charge or benefit within other income (expense), net on the condensed consolidated statement of operations. We excluded this change in fair value of the Future Tranche Right from our non-GAAP financial measures because it was unusual in nature, could vary significantly in amount, and was unrelated to our ongoing operations.</t>
    </r>
  </si>
  <si>
    <r>
      <t xml:space="preserve">    •</t>
    </r>
    <r>
      <rPr>
        <b/>
        <i/>
        <sz val="13"/>
        <rFont val="Arial"/>
        <family val="2"/>
      </rPr>
      <t>Non-GAAP income tax adjustments</t>
    </r>
    <r>
      <rPr>
        <sz val="13"/>
        <rFont val="Arial"/>
        <family val="2"/>
      </rPr>
      <t>.  We exclude from our non-GAAP measures of net income attributable to Verint Systems Inc., our GAAP provision for (benefit from) income taxes and instead include a non-GAAP provision for income taxes, determined by applying a non-GAAP effective income tax rate to our income before provision for income taxes, as adjusted for the non-GAAP items described above.  The non-GAAP effective income tax rate is generally based upon the income taxes we expect to pay in the reporting year. Our GAAP effective income tax rate can vary significantly from year to year as a result of tax law changes, settlements with tax authorities, changes in the geographic mix of earnings including acquisition activity, changes in the projected realizability of deferred tax assets, and other unusual or period-specific events, all of which can vary in size and frequency. We believe that our non-GAAP effective income tax rate removes much of this variability and facilitates meaningful comparisons of operating results across periods. Our non-GAAP effective income tax rate for the year ending is currently approximately 10%, and was 11% for the year ended January 31, 2022, and was 8% for the year ended January 31, 2021. We evaluate our non-GAAP effective income tax rate on an ongoing basis, and it can change from time to time. Our non-GAAP income tax rate can differ materially from our GAAP effective income tax rate.</t>
    </r>
  </si>
  <si>
    <r>
      <t xml:space="preserve">   •</t>
    </r>
    <r>
      <rPr>
        <b/>
        <i/>
        <sz val="13"/>
        <rFont val="Arial"/>
        <family val="2"/>
      </rPr>
      <t xml:space="preserve">Accelerated lease costs. </t>
    </r>
    <r>
      <rPr>
        <sz val="13"/>
        <rFont val="Arial"/>
        <family val="2"/>
      </rPr>
      <t>We exclude from our non-GAAP financial measures accelerated facility costs due to the early termination or abandonment of certain office leases as a result of our move to a hybrid work model. In connection with these facility lease exits, we incur accelerated lease expense. We exclude these charges because they are not reflective of our ongoing business and operating results.</t>
    </r>
  </si>
  <si>
    <t>7/31/2022</t>
  </si>
  <si>
    <t xml:space="preserve"> </t>
  </si>
  <si>
    <t>Nonrecurring acquisition expenses (benefit), net</t>
  </si>
  <si>
    <r>
      <t xml:space="preserve">   •</t>
    </r>
    <r>
      <rPr>
        <b/>
        <i/>
        <sz val="13"/>
        <rFont val="Arial"/>
        <family val="2"/>
      </rPr>
      <t xml:space="preserve">Restructuring expenses (benefit). </t>
    </r>
    <r>
      <rPr>
        <sz val="13"/>
        <rFont val="Arial"/>
        <family val="2"/>
      </rPr>
      <t>We exclude restructuring expenses (benefit) from our non-GAAP financial measures, which include employee termination costs, facility exit costs (except as included in Accelerated lease costs described below), certain professional fees, asset impairment charges, and other costs directly associated with resource realignments incurred in reaction to changing strategies or business conditions. All of these costs can vary significantly in amount and frequency based on the nature of the actions as well as the changing needs of our business and we believe that excluding them provides easier comparability of pre- and post-restructuring operating results.</t>
    </r>
  </si>
  <si>
    <t>Non-GAAP financial measures should not be considered in isolation, as substitutes for, or superior to, comparable GAAP financial measures. The non-GAAP financial measures we present have limitations in that they do not reflect all of the amounts associated with our results of operations as determined in accordance with GAAP, and these non-GAAP financial measures should only be used to evaluate our results of operations in conjunction with the corresponding GAAP financial measures. These non-GAAP financial measures do not represent discretionary cash available to us to invest in the growth of our business, and we may in the future incur expenses similar to or in addition to the adjustments made in these non-GAAP financial measures. Other companies may calculate similar non-GAAP financial measures differently than we do, limiting their usefulness as comparative measures.</t>
  </si>
  <si>
    <t>Nonrecurring restructuring expenses (benefit)</t>
  </si>
  <si>
    <t xml:space="preserve">           Note: FYE21 diluted EPS includes Verint’s former Cyber Intelligence Solutions business. We completed the previously announced spin-off of former Cyber Intelligence Solutions business on February 1, 2021. All other FYE21 metrics are comparable to future periods shown.</t>
  </si>
  <si>
    <t>Revenue for the three months ended current period at constant currency (1)</t>
  </si>
  <si>
    <t>Cloud revenue - non-GAAP</t>
  </si>
  <si>
    <t>Cloud revenue - GAAP</t>
  </si>
  <si>
    <t>New Perpetual License Equivalent Bookings</t>
  </si>
  <si>
    <t>10/31/2022</t>
  </si>
  <si>
    <t>Nine Months Ended</t>
  </si>
  <si>
    <t xml:space="preserve">Nine Months Ended </t>
  </si>
  <si>
    <t>Because we operate on a global basis and transact business in many currencies, fluctuations in foreign currency exchange rates can affect our consolidated U.S. dollar operating results. To facilitate the assessment of our performance excluding the effect of foreign currency exchange rate fluctuations, we calculate our GAAP and non-GAAP revenue, GAAP and non-GAAP cloud revenue, new SaaS ACV, new perpetual license equivalent bookings, cost of revenue, and operating expenses on both an as-reported basis and a constant currency basis, allowing for comparison of results between periods as if foreign currency exchange rates had remained constant.  We perform our constant currency calculations by translating current-period results into U.S. dollars using prior-period average foreign currency exchange rates or hedge rates, as applicable, rather than current period exchange rates. We believe that constant currency measures, which exclude the impact of changes in foreign currency exchange rates, facilitate the assessment of underlying business trends.
Unless otherwise indicated, our financial outlook, which is provided on a non-GAAP basis, reflects foreign currency exchange rates approximately consistent with rates in effect when the outlook is provided.
We also incur foreign exchange gains and losses resulting from the revaluation and settlement of monetary assets and liabilities that are denominated in currencies other than the entity’s functional currency. We periodically report our historical non-GAAP diluted net income per share both inclusive and exclusive of these net foreign exchange gains or losses. Our financial outlook for diluted earnings per share includes net foreign exchange gains or losses incurred to date, if any, but does not include potential future gains or losses.</t>
  </si>
  <si>
    <t>The following tables include reconciliations of certain financial measures not prepared in accordance with Generally Accepted Accounting Principles (“GAAP”), consisting of non-GAAP revenue, non-GAAP software revenue (includes cloud and support), non-GAAP perpetual revenue, non-GAAP support revenue, non-GAAP professional services revenue, non-GAAP recurring revenue, non-GAAP nonrecurring revenue, non-GAAP cloud revenue, non-GAAP SaaS revenue, non-GAAP bundled SaaS revenue, non-GAAP unbundled SaaS revenue, non-GAAP optional managed services revenue,  non-GAAP recurring gross profit and gross margins, non-GAAP nonrecurring gross profit and gross margins, non-GAAP gross profit and gross margins, non-GAAP research and development, net, non-GAAP selling, general and administrative expenses, non-GAAP operating income (loss) and operating margins, non-GAAP other income (expense), net, non-GAAP provision for (benefit from) income taxes and non-GAAP effective income tax rate, non-GAAP net income (loss) from continuing operations attributable to Verint Systems Inc. common shares, non-GAAP diluted net income (loss) from continuing operations per common share attributable to Verint Systems Inc., adjusted EBITDA and adjusted EBITDA as a percentage of non-GAAP revenue, net debt and constant currency measures. The tables above include a reconciliation of each non-GAAP financial measure for completed periods presented in this press release to the most directly comparable GAAP financial measure.</t>
  </si>
  <si>
    <t>(6)</t>
  </si>
  <si>
    <r>
      <t xml:space="preserve">   •</t>
    </r>
    <r>
      <rPr>
        <b/>
        <i/>
        <sz val="13"/>
        <rFont val="Arial"/>
        <family val="2"/>
      </rPr>
      <t>Impairment charges and other</t>
    </r>
    <r>
      <rPr>
        <b/>
        <sz val="13"/>
        <rFont val="Arial"/>
        <family val="2"/>
      </rPr>
      <t xml:space="preserve"> </t>
    </r>
    <r>
      <rPr>
        <b/>
        <i/>
        <sz val="13"/>
        <rFont val="Arial"/>
        <family val="2"/>
      </rPr>
      <t xml:space="preserve">adjustments. </t>
    </r>
    <r>
      <rPr>
        <sz val="13"/>
        <rFont val="Arial"/>
        <family val="2"/>
      </rPr>
      <t>We exclude from our non-GAAP financial measures asset impairment charges (other than those already included within restructuring or acquisition activity), rent expense for redundant facilities, gains or losses on sales of property, gains or losses on settlements of certain legal matters, and certain professional fees unrelated to our ongoing operations, all of which are unusual in nature and can vary significantly in amount and frequency.</t>
    </r>
  </si>
  <si>
    <t>IT facilities and infrastructure realignment (6)</t>
  </si>
  <si>
    <t>IT facilities and infrastructure realignment costs were previously included within Other Adjustments for the three months ended April 30, 2021, July 31, 2021, October 31, 2021, January 31, 2022, April 30, 2022 and July 31, 2022.</t>
  </si>
  <si>
    <r>
      <t xml:space="preserve">   •</t>
    </r>
    <r>
      <rPr>
        <b/>
        <i/>
        <sz val="13"/>
        <rFont val="Arial"/>
        <family val="2"/>
      </rPr>
      <t xml:space="preserve">IT facilities and infrastructure realignment. </t>
    </r>
    <r>
      <rPr>
        <sz val="13"/>
        <rFont val="Arial"/>
        <family val="2"/>
      </rPr>
      <t>We exclude from our non-GAAP financial measures nonrecurring IT facilities and infrastructure realignment costs and other IT charges associated with modifying the workplace, including consolidating and/or migrating data centers and labs to the cloud, simplifying the corporate network, and one-time costs for implementing collaboration tools to enable our work from anywhere strategy.</t>
    </r>
  </si>
  <si>
    <r>
      <t xml:space="preserve">   •</t>
    </r>
    <r>
      <rPr>
        <b/>
        <i/>
        <sz val="13"/>
        <rFont val="Arial"/>
        <family val="2"/>
      </rPr>
      <t xml:space="preserve">Separation expenses. </t>
    </r>
    <r>
      <rPr>
        <sz val="13"/>
        <rFont val="Arial"/>
        <family val="2"/>
      </rPr>
      <t>On February 1, 2021, we completed the spin-off of our former Cyber Intelligence Solutions business.  We exclude from our non-GAAP financial measures expenses incurred in connection with the spin-off, including third-party advisory, accounting, legal, consulting, and other similar services related to the separation as well as costs associated with the operational separation of the two businesses, including those related to human resources, brand management, real estate, and information technology (which are included in Separation expenses to the extent not capitalized). Separation expenses also include incremental cash income taxes related to the reorganization of legal entities and operations in order to effect the separation. These costs are incremental to our normal operating expenses and are being incurred solely as a result of the separation transaction. Accordingly, we are excluding these separation expenses from our non-GAAP financial measures in order to evaluate our performance on a comparable basis.</t>
    </r>
  </si>
  <si>
    <t>Nonrecurring revenue, on both a GAAP and non-GAAP basis, primarily consists of our perpetual licenses, consulting, implementation and installation services, hardware, training and patent license royalties.</t>
  </si>
  <si>
    <t>Adjusted EBITDA is a non-GAAP measure defined as net income (loss) before interest expense, interest income, income taxes, depreciation expense, amortization expense, stock-based compensation expenses, revenue adjustments, restructuring expenses, acquisition expenses, separation expenses, accelerated leases, IT facilities and infrastructure realignment, and other expenses excluded from our non-GAAP financial measures as described above. We believe that adjusted EBITDA is also commonly used by investors to evaluate operating performance between companies because it helps reduce variability caused by differences in capital structures, income taxes, stock-based compensation expenses, accounting policies, and depreciation and amortization policies. Adjusted EBITDA is also used by credit rating agencies, lenders, and other parties to evaluate our creditworthiness.</t>
  </si>
  <si>
    <t>New PLE Bookings - Perpetual Component</t>
  </si>
  <si>
    <t>New PLE Bookings - SaaS Component</t>
  </si>
  <si>
    <t>% of New Perpetual License Equivalent Bookings from Perpetual</t>
  </si>
  <si>
    <t xml:space="preserve">New Perpetual License Equivalent Bookings are used to normalize between perpetual and SaaS bookings and measure overall software bookings growth. We calculate New Perpetual License Equivalent Bookings by adding to perpetual licenses (“New PLE Bookings - Perpetual Component”) an amount equal to New SaaS ACV bookings multiplied by a conversion factor that normalizes the mix of bundled and unbundled SaaS and perpetual bookings in a given period (”New PLE Bookings  - SaaS Component”) The conversion factor used is based on our order mix and may change from period to period. Management uses perpetual license equivalent bookings to understand our performance, including our software bookings growth and SaaS/perpetual license mix. This metric should not be viewed in isolation from other operating metrics that we make available to investors.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</si>
</sst>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44" formatCode="_(&quot;$&quot;* #,##0.00_);_(&quot;$&quot;* \(#,##0.00\);_(&quot;$&quot;* &quot;-&quot;??_);_(@_)"/>
    <numFmt numFmtId="43" formatCode="_(* #,##0.00_);_(* \(#,##0.00\);_(* &quot;-&quot;??_);_(@_)"/>
    <numFmt numFmtId="164" formatCode="&quot;$&quot;#,##0.0_);[Red]\(&quot;$&quot;#,##0.0\)"/>
    <numFmt numFmtId="165" formatCode="0.0%"/>
    <numFmt numFmtId="166" formatCode="_(* #,##0_);_(* \(#,##0\);_(* &quot;-&quot;??_);_(@_)"/>
    <numFmt numFmtId="167" formatCode="_(&quot;$&quot;* #,##0.0_);_(&quot;$&quot;* \(#,##0.0\);_(&quot;$&quot;* &quot;-&quot;??_);_(@_)"/>
    <numFmt numFmtId="168" formatCode="_(* #,##0.0_);_(* \(#,##0.0\);_(* &quot;-&quot;?_);_(@_)"/>
    <numFmt numFmtId="169" formatCode="_(* #,##0.0_);_(* \(#,##0.0\);_(* &quot;-&quot;??_);_(@_)"/>
    <numFmt numFmtId="170" formatCode="_(&quot;$&quot;* #,##0.000_);_(&quot;$&quot;* \(#,##0.000\);_(&quot;$&quot;* &quot;-&quot;??_);_(@_)"/>
    <numFmt numFmtId="171" formatCode="_(* #,##0.0_);_(* \(#,##0.0\);_(* &quot;-&quot;_);_(@_)"/>
    <numFmt numFmtId="172" formatCode="&quot;$&quot;#,##0.0_);\(&quot;$&quot;#,##0.0\)"/>
    <numFmt numFmtId="173" formatCode="_(* #,##0.000_);_(* \(#,##0.000\);_(* &quot;-&quot;?_);_(@_)"/>
  </numFmts>
  <fonts count="46" x14ac:knownFonts="1">
    <font>
      <sz val="11"/>
      <color theme="1"/>
      <name val="Calibri"/>
      <family val="2"/>
      <scheme val="minor"/>
    </font>
    <font>
      <sz val="11"/>
      <color theme="1"/>
      <name val="Calibri"/>
      <family val="2"/>
      <scheme val="minor"/>
    </font>
    <font>
      <u/>
      <sz val="11"/>
      <color theme="10"/>
      <name val="Calibri"/>
      <family val="2"/>
      <scheme val="minor"/>
    </font>
    <font>
      <b/>
      <sz val="15"/>
      <color theme="1"/>
      <name val="Arial"/>
      <family val="2"/>
    </font>
    <font>
      <sz val="15"/>
      <color theme="1"/>
      <name val="Calibri"/>
      <family val="2"/>
      <scheme val="minor"/>
    </font>
    <font>
      <b/>
      <u/>
      <sz val="15"/>
      <color theme="1"/>
      <name val="Calibri"/>
      <family val="2"/>
      <scheme val="minor"/>
    </font>
    <font>
      <u/>
      <sz val="15"/>
      <color theme="10"/>
      <name val="Calibri"/>
      <family val="2"/>
      <scheme val="minor"/>
    </font>
    <font>
      <b/>
      <sz val="14"/>
      <color theme="1"/>
      <name val="Arial"/>
      <family val="2"/>
    </font>
    <font>
      <sz val="11"/>
      <color theme="1"/>
      <name val="Arial"/>
      <family val="2"/>
    </font>
    <font>
      <b/>
      <sz val="15"/>
      <color theme="0"/>
      <name val="Arial"/>
      <family val="2"/>
    </font>
    <font>
      <sz val="11"/>
      <color theme="0"/>
      <name val="Arial"/>
      <family val="2"/>
    </font>
    <font>
      <b/>
      <sz val="11"/>
      <color theme="0"/>
      <name val="Arial"/>
      <family val="2"/>
    </font>
    <font>
      <sz val="10.5"/>
      <color theme="0"/>
      <name val="Arial"/>
      <family val="2"/>
    </font>
    <font>
      <b/>
      <sz val="10.5"/>
      <color theme="0"/>
      <name val="Arial"/>
      <family val="2"/>
    </font>
    <font>
      <b/>
      <sz val="10"/>
      <color theme="0"/>
      <name val="Arial"/>
      <family val="2"/>
    </font>
    <font>
      <b/>
      <sz val="12"/>
      <color rgb="FF262A32"/>
      <name val="Arial"/>
      <family val="2"/>
    </font>
    <font>
      <b/>
      <sz val="13"/>
      <name val="Arial"/>
      <family val="2"/>
    </font>
    <font>
      <sz val="13"/>
      <name val="Arial"/>
      <family val="2"/>
    </font>
    <font>
      <sz val="11"/>
      <name val="Arial"/>
      <family val="2"/>
    </font>
    <font>
      <sz val="11"/>
      <name val="Calibri"/>
      <family val="2"/>
      <scheme val="minor"/>
    </font>
    <font>
      <b/>
      <i/>
      <sz val="13"/>
      <name val="Arial"/>
      <family val="2"/>
    </font>
    <font>
      <i/>
      <sz val="11"/>
      <name val="Arial"/>
      <family val="2"/>
    </font>
    <font>
      <i/>
      <sz val="13"/>
      <name val="Arial"/>
      <family val="2"/>
    </font>
    <font>
      <i/>
      <sz val="11"/>
      <color theme="1"/>
      <name val="Arial"/>
      <family val="2"/>
    </font>
    <font>
      <b/>
      <sz val="11"/>
      <color theme="1"/>
      <name val="Arial"/>
      <family val="2"/>
    </font>
    <font>
      <b/>
      <sz val="11"/>
      <name val="Arial"/>
      <family val="2"/>
    </font>
    <font>
      <b/>
      <sz val="13"/>
      <color rgb="FF262A32"/>
      <name val="Arial"/>
      <family val="2"/>
    </font>
    <font>
      <sz val="13"/>
      <color rgb="FF262A32"/>
      <name val="Arial"/>
      <family val="2"/>
    </font>
    <font>
      <b/>
      <i/>
      <sz val="13"/>
      <color rgb="FF262A32"/>
      <name val="Arial"/>
      <family val="2"/>
    </font>
    <font>
      <i/>
      <sz val="13"/>
      <color rgb="FF262A32"/>
      <name val="Arial"/>
      <family val="2"/>
    </font>
    <font>
      <sz val="18"/>
      <name val="Arial"/>
      <family val="2"/>
    </font>
    <font>
      <i/>
      <sz val="18"/>
      <name val="Arial"/>
      <family val="2"/>
    </font>
    <font>
      <sz val="13"/>
      <color theme="1"/>
      <name val="Arial"/>
      <family val="2"/>
    </font>
    <font>
      <sz val="8"/>
      <color theme="1"/>
      <name val="Arial"/>
      <family val="2"/>
    </font>
    <font>
      <sz val="10"/>
      <name val="Arial"/>
      <family val="2"/>
    </font>
    <font>
      <sz val="8"/>
      <name val="Arial"/>
      <family val="2"/>
    </font>
    <font>
      <b/>
      <u/>
      <sz val="8"/>
      <name val="Arial"/>
      <family val="2"/>
    </font>
    <font>
      <b/>
      <sz val="13"/>
      <color theme="1"/>
      <name val="Arial"/>
      <family val="2"/>
    </font>
    <font>
      <i/>
      <sz val="8"/>
      <color theme="1"/>
      <name val="Arial"/>
      <family val="2"/>
    </font>
    <font>
      <b/>
      <u/>
      <sz val="13"/>
      <name val="Arial"/>
      <family val="2"/>
    </font>
    <font>
      <b/>
      <u/>
      <sz val="13"/>
      <color theme="1"/>
      <name val="Arial"/>
      <family val="2"/>
    </font>
    <font>
      <sz val="13"/>
      <color rgb="FF000000"/>
      <name val="Arial"/>
      <family val="2"/>
    </font>
    <font>
      <u/>
      <sz val="13"/>
      <color theme="1"/>
      <name val="Arial"/>
      <family val="2"/>
    </font>
    <font>
      <sz val="10"/>
      <color theme="1"/>
      <name val="Arial"/>
      <family val="2"/>
    </font>
    <font>
      <i/>
      <sz val="10"/>
      <color theme="1"/>
      <name val="Arial"/>
      <family val="2"/>
    </font>
    <font>
      <b/>
      <sz val="14"/>
      <name val="Arial"/>
      <family val="2"/>
    </font>
  </fonts>
  <fills count="8">
    <fill>
      <patternFill patternType="none"/>
    </fill>
    <fill>
      <patternFill patternType="gray125"/>
    </fill>
    <fill>
      <patternFill patternType="solid">
        <fgColor theme="0"/>
        <bgColor indexed="64"/>
      </patternFill>
    </fill>
    <fill>
      <patternFill patternType="solid">
        <fgColor auto="1"/>
        <bgColor indexed="64"/>
      </patternFill>
    </fill>
    <fill>
      <patternFill patternType="solid">
        <fgColor rgb="FF0079FF"/>
        <bgColor indexed="64"/>
      </patternFill>
    </fill>
    <fill>
      <patternFill patternType="solid">
        <fgColor indexed="9"/>
        <bgColor indexed="64"/>
      </patternFill>
    </fill>
    <fill>
      <patternFill patternType="solid">
        <fgColor theme="0" tint="-0.249977111117893"/>
        <bgColor indexed="64"/>
      </patternFill>
    </fill>
    <fill>
      <patternFill patternType="solid">
        <fgColor theme="8" tint="0.59999389629810485"/>
        <bgColor indexed="64"/>
      </patternFill>
    </fill>
  </fills>
  <borders count="51">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top/>
      <bottom style="thin">
        <color indexed="64"/>
      </bottom>
      <diagonal/>
    </border>
    <border>
      <left style="medium">
        <color rgb="FF000000"/>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theme="0" tint="-0.34998626667073579"/>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rgb="FF000000"/>
      </right>
      <top/>
      <bottom style="thin">
        <color indexed="64"/>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rgb="FF000000"/>
      </right>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4" fillId="0" borderId="0"/>
    <xf numFmtId="43" fontId="34" fillId="0" borderId="0" applyFont="0" applyFill="0" applyBorder="0" applyAlignment="0" applyProtection="0"/>
    <xf numFmtId="44" fontId="34" fillId="0" borderId="0" applyFont="0" applyFill="0" applyBorder="0" applyAlignment="0" applyProtection="0"/>
    <xf numFmtId="0" fontId="34" fillId="0" borderId="0"/>
  </cellStyleXfs>
  <cellXfs count="320">
    <xf numFmtId="0" fontId="0" fillId="0" borderId="0" xfId="0"/>
    <xf numFmtId="0" fontId="3" fillId="2" borderId="0" xfId="0" applyFont="1" applyFill="1" applyAlignment="1">
      <alignment horizontal="left"/>
    </xf>
    <xf numFmtId="0" fontId="4" fillId="3" borderId="0" xfId="0" applyFont="1" applyFill="1"/>
    <xf numFmtId="0" fontId="5" fillId="3" borderId="0" xfId="0" applyFont="1" applyFill="1"/>
    <xf numFmtId="0" fontId="6" fillId="3" borderId="0" xfId="4" applyFont="1" applyFill="1"/>
    <xf numFmtId="0" fontId="7" fillId="2" borderId="0" xfId="0" applyFont="1" applyFill="1" applyAlignment="1">
      <alignment horizontal="left"/>
    </xf>
    <xf numFmtId="0" fontId="8" fillId="2" borderId="0" xfId="0" applyFont="1" applyFill="1" applyAlignment="1">
      <alignment horizontal="centerContinuous"/>
    </xf>
    <xf numFmtId="0" fontId="8" fillId="2" borderId="0" xfId="0" applyFont="1" applyFill="1"/>
    <xf numFmtId="0" fontId="10" fillId="2" borderId="0" xfId="0" applyFont="1" applyFill="1"/>
    <xf numFmtId="0" fontId="11" fillId="4" borderId="12" xfId="0" applyFont="1" applyFill="1" applyBorder="1" applyAlignment="1">
      <alignment horizontal="center" vertical="center" wrapText="1" readingOrder="1"/>
    </xf>
    <xf numFmtId="0" fontId="14" fillId="4" borderId="12" xfId="0" applyFont="1" applyFill="1" applyBorder="1" applyAlignment="1">
      <alignment horizontal="center" vertical="center" wrapText="1" readingOrder="1"/>
    </xf>
    <xf numFmtId="0" fontId="11" fillId="4" borderId="13" xfId="0" applyFont="1" applyFill="1" applyBorder="1" applyAlignment="1">
      <alignment horizontal="center" vertical="center" wrapText="1" readingOrder="1"/>
    </xf>
    <xf numFmtId="0" fontId="14" fillId="4" borderId="14" xfId="0" applyFont="1" applyFill="1" applyBorder="1" applyAlignment="1">
      <alignment horizontal="center" vertical="center" wrapText="1" readingOrder="1"/>
    </xf>
    <xf numFmtId="0" fontId="16" fillId="2" borderId="12" xfId="0" applyFont="1" applyFill="1" applyBorder="1" applyAlignment="1">
      <alignment horizontal="left" vertical="center" wrapText="1" readingOrder="1"/>
    </xf>
    <xf numFmtId="164" fontId="17" fillId="2" borderId="12" xfId="0" applyNumberFormat="1" applyFont="1" applyFill="1" applyBorder="1" applyAlignment="1">
      <alignment horizontal="center" vertical="center" wrapText="1" readingOrder="1"/>
    </xf>
    <xf numFmtId="0" fontId="18" fillId="2" borderId="0" xfId="0" applyFont="1" applyFill="1"/>
    <xf numFmtId="0" fontId="17" fillId="2" borderId="15" xfId="0" applyFont="1" applyFill="1" applyBorder="1" applyAlignment="1">
      <alignment horizontal="center" vertical="center" wrapText="1" readingOrder="1"/>
    </xf>
    <xf numFmtId="0" fontId="20" fillId="2" borderId="16" xfId="0" applyFont="1" applyFill="1" applyBorder="1" applyAlignment="1">
      <alignment horizontal="left" vertical="center" wrapText="1" readingOrder="1"/>
    </xf>
    <xf numFmtId="0" fontId="21" fillId="2" borderId="0" xfId="0" applyFont="1" applyFill="1"/>
    <xf numFmtId="165" fontId="22" fillId="2" borderId="12" xfId="3" applyNumberFormat="1" applyFont="1" applyFill="1" applyBorder="1" applyAlignment="1">
      <alignment horizontal="center" vertical="center" wrapText="1" readingOrder="1"/>
    </xf>
    <xf numFmtId="0" fontId="15" fillId="2" borderId="0" xfId="0" applyFont="1" applyFill="1" applyAlignment="1">
      <alignment horizontal="center" vertical="center" textRotation="90" wrapText="1" readingOrder="1"/>
    </xf>
    <xf numFmtId="0" fontId="16" fillId="2" borderId="0" xfId="0" applyFont="1" applyFill="1" applyAlignment="1">
      <alignment horizontal="left" vertical="center" wrapText="1" readingOrder="1"/>
    </xf>
    <xf numFmtId="164" fontId="17" fillId="2" borderId="0" xfId="0" applyNumberFormat="1" applyFont="1" applyFill="1" applyAlignment="1">
      <alignment horizontal="center" vertical="center" wrapText="1" readingOrder="1"/>
    </xf>
    <xf numFmtId="0" fontId="17" fillId="2" borderId="0" xfId="0" applyFont="1" applyFill="1" applyAlignment="1">
      <alignment horizontal="center" vertical="center" wrapText="1" readingOrder="1"/>
    </xf>
    <xf numFmtId="165" fontId="22" fillId="0" borderId="12" xfId="3" applyNumberFormat="1" applyFont="1" applyBorder="1" applyAlignment="1">
      <alignment horizontal="center" vertical="center" wrapText="1" readingOrder="1"/>
    </xf>
    <xf numFmtId="0" fontId="20" fillId="2" borderId="12" xfId="0" applyFont="1" applyFill="1" applyBorder="1" applyAlignment="1">
      <alignment horizontal="left" vertical="center" wrapText="1" readingOrder="1"/>
    </xf>
    <xf numFmtId="164" fontId="22" fillId="2" borderId="12" xfId="0" applyNumberFormat="1" applyFont="1" applyFill="1" applyBorder="1" applyAlignment="1">
      <alignment horizontal="center" vertical="center" wrapText="1" readingOrder="1"/>
    </xf>
    <xf numFmtId="0" fontId="16" fillId="2" borderId="16" xfId="0" applyFont="1" applyFill="1" applyBorder="1" applyAlignment="1">
      <alignment horizontal="left" vertical="center" wrapText="1" readingOrder="1"/>
    </xf>
    <xf numFmtId="165" fontId="17" fillId="2" borderId="12" xfId="3" applyNumberFormat="1" applyFont="1" applyFill="1" applyBorder="1" applyAlignment="1">
      <alignment horizontal="center" vertical="center" wrapText="1" readingOrder="1"/>
    </xf>
    <xf numFmtId="164" fontId="17" fillId="0" borderId="12" xfId="0" applyNumberFormat="1" applyFont="1" applyBorder="1" applyAlignment="1">
      <alignment horizontal="center" vertical="center" wrapText="1" readingOrder="1"/>
    </xf>
    <xf numFmtId="164" fontId="22" fillId="0" borderId="12" xfId="0" applyNumberFormat="1" applyFont="1" applyBorder="1" applyAlignment="1">
      <alignment horizontal="center" vertical="center" wrapText="1" readingOrder="1"/>
    </xf>
    <xf numFmtId="0" fontId="23" fillId="2" borderId="0" xfId="0" applyFont="1" applyFill="1"/>
    <xf numFmtId="0" fontId="24" fillId="2" borderId="0" xfId="0" applyFont="1" applyFill="1"/>
    <xf numFmtId="0" fontId="25" fillId="2" borderId="0" xfId="0" applyFont="1" applyFill="1"/>
    <xf numFmtId="0" fontId="16" fillId="0" borderId="16" xfId="0" applyFont="1" applyBorder="1" applyAlignment="1">
      <alignment horizontal="left" vertical="center" wrapText="1" readingOrder="1"/>
    </xf>
    <xf numFmtId="0" fontId="26" fillId="2" borderId="12" xfId="0" applyFont="1" applyFill="1" applyBorder="1" applyAlignment="1">
      <alignment horizontal="left" vertical="center" wrapText="1" readingOrder="1"/>
    </xf>
    <xf numFmtId="164" fontId="27" fillId="2" borderId="12" xfId="0" applyNumberFormat="1" applyFont="1" applyFill="1" applyBorder="1" applyAlignment="1">
      <alignment horizontal="center" vertical="center" wrapText="1" readingOrder="1"/>
    </xf>
    <xf numFmtId="0" fontId="28" fillId="2" borderId="12" xfId="0" applyFont="1" applyFill="1" applyBorder="1" applyAlignment="1">
      <alignment horizontal="left" vertical="center" wrapText="1" readingOrder="1"/>
    </xf>
    <xf numFmtId="165" fontId="29" fillId="2" borderId="12" xfId="3" applyNumberFormat="1" applyFont="1" applyFill="1" applyBorder="1" applyAlignment="1">
      <alignment horizontal="center" vertical="center" wrapText="1" readingOrder="1"/>
    </xf>
    <xf numFmtId="0" fontId="30" fillId="2" borderId="12" xfId="0" applyFont="1" applyFill="1" applyBorder="1" applyAlignment="1">
      <alignment horizontal="center" vertical="top" wrapText="1"/>
    </xf>
    <xf numFmtId="0" fontId="31" fillId="2" borderId="12" xfId="0" applyFont="1" applyFill="1" applyBorder="1" applyAlignment="1">
      <alignment horizontal="center" vertical="top" wrapText="1"/>
    </xf>
    <xf numFmtId="0" fontId="32" fillId="2" borderId="0" xfId="0" applyFont="1" applyFill="1" applyAlignment="1">
      <alignment wrapText="1"/>
    </xf>
    <xf numFmtId="0" fontId="27" fillId="2" borderId="0" xfId="0" applyFont="1" applyFill="1" applyAlignment="1">
      <alignment horizontal="left" vertical="center" wrapText="1" readingOrder="1"/>
    </xf>
    <xf numFmtId="164" fontId="8" fillId="2" borderId="0" xfId="0" applyNumberFormat="1" applyFont="1" applyFill="1"/>
    <xf numFmtId="0" fontId="33" fillId="2" borderId="0" xfId="0" applyFont="1" applyFill="1"/>
    <xf numFmtId="0" fontId="35" fillId="2" borderId="0" xfId="5" applyFont="1" applyFill="1"/>
    <xf numFmtId="0" fontId="18" fillId="4" borderId="0" xfId="5" applyFont="1" applyFill="1" applyAlignment="1">
      <alignment wrapText="1"/>
    </xf>
    <xf numFmtId="0" fontId="11" fillId="4" borderId="0" xfId="5" applyFont="1" applyFill="1" applyAlignment="1">
      <alignment horizontal="center" wrapText="1"/>
    </xf>
    <xf numFmtId="0" fontId="11" fillId="4" borderId="0" xfId="5" applyFont="1" applyFill="1"/>
    <xf numFmtId="166" fontId="11" fillId="4" borderId="0" xfId="6" quotePrefix="1" applyNumberFormat="1" applyFont="1" applyFill="1" applyAlignment="1">
      <alignment horizontal="center" wrapText="1"/>
    </xf>
    <xf numFmtId="0" fontId="36" fillId="5" borderId="0" xfId="5" applyFont="1" applyFill="1"/>
    <xf numFmtId="0" fontId="16" fillId="5" borderId="0" xfId="5" applyFont="1" applyFill="1"/>
    <xf numFmtId="167" fontId="16" fillId="5" borderId="20" xfId="2" applyNumberFormat="1" applyFont="1" applyFill="1" applyBorder="1"/>
    <xf numFmtId="0" fontId="37" fillId="2" borderId="0" xfId="0" applyFont="1" applyFill="1"/>
    <xf numFmtId="167" fontId="37" fillId="2" borderId="0" xfId="2" applyNumberFormat="1" applyFont="1" applyFill="1"/>
    <xf numFmtId="0" fontId="17" fillId="5" borderId="0" xfId="5" applyFont="1" applyFill="1"/>
    <xf numFmtId="168" fontId="17" fillId="2" borderId="0" xfId="7" applyNumberFormat="1" applyFont="1" applyFill="1"/>
    <xf numFmtId="168" fontId="32" fillId="2" borderId="0" xfId="0" applyNumberFormat="1" applyFont="1" applyFill="1"/>
    <xf numFmtId="0" fontId="32" fillId="2" borderId="0" xfId="0" applyFont="1" applyFill="1"/>
    <xf numFmtId="169" fontId="17" fillId="5" borderId="0" xfId="6" applyNumberFormat="1" applyFont="1" applyFill="1"/>
    <xf numFmtId="168" fontId="16" fillId="5" borderId="20" xfId="6" applyNumberFormat="1" applyFont="1" applyFill="1" applyBorder="1"/>
    <xf numFmtId="168" fontId="37" fillId="2" borderId="0" xfId="0" applyNumberFormat="1" applyFont="1" applyFill="1"/>
    <xf numFmtId="167" fontId="16" fillId="2" borderId="0" xfId="7" applyNumberFormat="1" applyFont="1" applyFill="1"/>
    <xf numFmtId="169" fontId="16" fillId="5" borderId="20" xfId="6" applyNumberFormat="1" applyFont="1" applyFill="1" applyBorder="1"/>
    <xf numFmtId="168" fontId="17" fillId="5" borderId="0" xfId="6" applyNumberFormat="1" applyFont="1" applyFill="1"/>
    <xf numFmtId="0" fontId="17" fillId="2" borderId="0" xfId="5" applyFont="1" applyFill="1"/>
    <xf numFmtId="0" fontId="16" fillId="2" borderId="0" xfId="5" applyFont="1" applyFill="1"/>
    <xf numFmtId="0" fontId="33" fillId="0" borderId="0" xfId="0" applyFont="1"/>
    <xf numFmtId="166" fontId="33" fillId="2" borderId="0" xfId="1" applyNumberFormat="1" applyFont="1" applyFill="1"/>
    <xf numFmtId="0" fontId="38" fillId="2" borderId="0" xfId="0" applyFont="1" applyFill="1"/>
    <xf numFmtId="166" fontId="8" fillId="2" borderId="0" xfId="1" applyNumberFormat="1" applyFont="1" applyFill="1"/>
    <xf numFmtId="0" fontId="40" fillId="2" borderId="0" xfId="0" applyFont="1" applyFill="1"/>
    <xf numFmtId="167" fontId="32" fillId="2" borderId="0" xfId="2" applyNumberFormat="1" applyFont="1" applyFill="1"/>
    <xf numFmtId="166" fontId="32" fillId="2" borderId="0" xfId="1" applyNumberFormat="1" applyFont="1" applyFill="1"/>
    <xf numFmtId="165" fontId="32" fillId="2" borderId="0" xfId="3" applyNumberFormat="1" applyFont="1" applyFill="1" applyAlignment="1">
      <alignment horizontal="right"/>
    </xf>
    <xf numFmtId="165" fontId="32" fillId="2" borderId="21" xfId="3" applyNumberFormat="1" applyFont="1" applyFill="1" applyBorder="1" applyAlignment="1">
      <alignment horizontal="right"/>
    </xf>
    <xf numFmtId="165" fontId="37" fillId="2" borderId="0" xfId="3" applyNumberFormat="1" applyFont="1" applyFill="1" applyAlignment="1">
      <alignment horizontal="right"/>
    </xf>
    <xf numFmtId="0" fontId="39" fillId="5" borderId="0" xfId="5" applyFont="1" applyFill="1"/>
    <xf numFmtId="167" fontId="17" fillId="2" borderId="0" xfId="7" applyNumberFormat="1" applyFont="1" applyFill="1"/>
    <xf numFmtId="169" fontId="17" fillId="5" borderId="20" xfId="6" applyNumberFormat="1" applyFont="1" applyFill="1" applyBorder="1"/>
    <xf numFmtId="169" fontId="16" fillId="5" borderId="0" xfId="6" applyNumberFormat="1" applyFont="1" applyFill="1"/>
    <xf numFmtId="169" fontId="32" fillId="2" borderId="0" xfId="1" applyNumberFormat="1" applyFont="1" applyFill="1"/>
    <xf numFmtId="168" fontId="17" fillId="5" borderId="20" xfId="5" applyNumberFormat="1" applyFont="1" applyFill="1" applyBorder="1"/>
    <xf numFmtId="165" fontId="37" fillId="2" borderId="0" xfId="3" applyNumberFormat="1" applyFont="1" applyFill="1"/>
    <xf numFmtId="169" fontId="32" fillId="2" borderId="0" xfId="1" applyNumberFormat="1" applyFont="1" applyFill="1" applyAlignment="1">
      <alignment horizontal="center"/>
    </xf>
    <xf numFmtId="168" fontId="17" fillId="5" borderId="0" xfId="5" applyNumberFormat="1" applyFont="1" applyFill="1"/>
    <xf numFmtId="168" fontId="17" fillId="2" borderId="0" xfId="5" applyNumberFormat="1" applyFont="1" applyFill="1"/>
    <xf numFmtId="165" fontId="16" fillId="2" borderId="0" xfId="3" applyNumberFormat="1" applyFont="1" applyFill="1"/>
    <xf numFmtId="0" fontId="16" fillId="5" borderId="0" xfId="5" applyFont="1" applyFill="1" applyAlignment="1">
      <alignment wrapText="1"/>
    </xf>
    <xf numFmtId="167" fontId="16" fillId="2" borderId="0" xfId="7" applyNumberFormat="1" applyFont="1" applyFill="1" applyAlignment="1">
      <alignment vertical="top"/>
    </xf>
    <xf numFmtId="0" fontId="32" fillId="2" borderId="0" xfId="0" applyFont="1" applyFill="1" applyAlignment="1">
      <alignment vertical="top"/>
    </xf>
    <xf numFmtId="169" fontId="17" fillId="2" borderId="0" xfId="5" applyNumberFormat="1" applyFont="1" applyFill="1"/>
    <xf numFmtId="170" fontId="16" fillId="2" borderId="0" xfId="7" applyNumberFormat="1" applyFont="1" applyFill="1"/>
    <xf numFmtId="168" fontId="17" fillId="2" borderId="20" xfId="5" applyNumberFormat="1" applyFont="1" applyFill="1" applyBorder="1"/>
    <xf numFmtId="168" fontId="16" fillId="2" borderId="0" xfId="7" applyNumberFormat="1" applyFont="1" applyFill="1"/>
    <xf numFmtId="0" fontId="7" fillId="2" borderId="0" xfId="0" applyFont="1" applyFill="1"/>
    <xf numFmtId="0" fontId="41" fillId="2" borderId="0" xfId="0" applyFont="1" applyFill="1" applyAlignment="1">
      <alignment horizontal="left" vertical="top" wrapText="1" readingOrder="1"/>
    </xf>
    <xf numFmtId="0" fontId="32" fillId="2" borderId="0" xfId="0" applyFont="1" applyFill="1" applyAlignment="1">
      <alignment horizontal="left" vertical="top"/>
    </xf>
    <xf numFmtId="0" fontId="41" fillId="2" borderId="0" xfId="0" applyFont="1" applyFill="1" applyAlignment="1">
      <alignment horizontal="left" vertical="top" readingOrder="1"/>
    </xf>
    <xf numFmtId="0" fontId="41" fillId="2" borderId="0" xfId="0" quotePrefix="1" applyFont="1" applyFill="1" applyAlignment="1">
      <alignment horizontal="left" vertical="top" wrapText="1" readingOrder="1"/>
    </xf>
    <xf numFmtId="0" fontId="42" fillId="2" borderId="0" xfId="0" applyFont="1" applyFill="1"/>
    <xf numFmtId="0" fontId="7" fillId="3" borderId="0" xfId="0" applyFont="1" applyFill="1" applyAlignment="1">
      <alignment horizontal="left"/>
    </xf>
    <xf numFmtId="0" fontId="33" fillId="3" borderId="0" xfId="0" applyFont="1" applyFill="1"/>
    <xf numFmtId="0" fontId="35" fillId="5" borderId="0" xfId="5" applyFont="1" applyFill="1"/>
    <xf numFmtId="169" fontId="17" fillId="5" borderId="0" xfId="5" applyNumberFormat="1" applyFont="1" applyFill="1"/>
    <xf numFmtId="169" fontId="17" fillId="5" borderId="20" xfId="5" applyNumberFormat="1" applyFont="1" applyFill="1" applyBorder="1"/>
    <xf numFmtId="169" fontId="17" fillId="2" borderId="20" xfId="5" applyNumberFormat="1" applyFont="1" applyFill="1" applyBorder="1"/>
    <xf numFmtId="0" fontId="39" fillId="5" borderId="0" xfId="5" applyFont="1" applyFill="1" applyAlignment="1">
      <alignment wrapText="1"/>
    </xf>
    <xf numFmtId="0" fontId="0" fillId="6" borderId="22" xfId="0" applyFill="1" applyBorder="1"/>
    <xf numFmtId="166" fontId="8" fillId="6" borderId="0" xfId="1" applyNumberFormat="1" applyFont="1" applyFill="1"/>
    <xf numFmtId="0" fontId="8" fillId="6" borderId="0" xfId="0" applyFont="1" applyFill="1"/>
    <xf numFmtId="0" fontId="0" fillId="6" borderId="23" xfId="0" applyFill="1" applyBorder="1"/>
    <xf numFmtId="165" fontId="0" fillId="7" borderId="23" xfId="3" applyNumberFormat="1" applyFont="1" applyFill="1" applyBorder="1"/>
    <xf numFmtId="165" fontId="8" fillId="7" borderId="0" xfId="3" applyNumberFormat="1" applyFont="1" applyFill="1"/>
    <xf numFmtId="0" fontId="8" fillId="7" borderId="0" xfId="0" applyFont="1" applyFill="1"/>
    <xf numFmtId="165" fontId="0" fillId="7" borderId="8" xfId="3" applyNumberFormat="1" applyFont="1" applyFill="1" applyBorder="1"/>
    <xf numFmtId="0" fontId="7" fillId="3" borderId="0" xfId="0" applyFont="1" applyFill="1" applyAlignment="1">
      <alignment horizontal="fill"/>
    </xf>
    <xf numFmtId="0" fontId="35" fillId="3" borderId="0" xfId="5" applyFont="1" applyFill="1"/>
    <xf numFmtId="15" fontId="11" fillId="4" borderId="0" xfId="5" quotePrefix="1" applyNumberFormat="1" applyFont="1" applyFill="1"/>
    <xf numFmtId="0" fontId="17" fillId="2" borderId="0" xfId="5" applyFont="1" applyFill="1" applyAlignment="1">
      <alignment horizontal="left" vertical="top" wrapText="1"/>
    </xf>
    <xf numFmtId="44" fontId="17" fillId="2" borderId="0" xfId="7" applyFont="1" applyFill="1" applyAlignment="1">
      <alignment horizontal="left" vertical="top"/>
    </xf>
    <xf numFmtId="0" fontId="37" fillId="2" borderId="0" xfId="0" applyFont="1" applyFill="1" applyAlignment="1">
      <alignment wrapText="1"/>
    </xf>
    <xf numFmtId="166" fontId="16" fillId="2" borderId="0" xfId="6" applyNumberFormat="1" applyFont="1" applyFill="1"/>
    <xf numFmtId="0" fontId="17" fillId="5" borderId="0" xfId="5" applyFont="1" applyFill="1" applyAlignment="1">
      <alignment wrapText="1"/>
    </xf>
    <xf numFmtId="166" fontId="17" fillId="5" borderId="20" xfId="5" applyNumberFormat="1" applyFont="1" applyFill="1" applyBorder="1"/>
    <xf numFmtId="0" fontId="43" fillId="2" borderId="0" xfId="0" applyFont="1" applyFill="1"/>
    <xf numFmtId="0" fontId="17" fillId="2" borderId="0" xfId="8" applyFont="1" applyFill="1"/>
    <xf numFmtId="168" fontId="17" fillId="2" borderId="0" xfId="6" applyNumberFormat="1" applyFont="1" applyFill="1"/>
    <xf numFmtId="168" fontId="17" fillId="2" borderId="20" xfId="6" applyNumberFormat="1" applyFont="1" applyFill="1" applyBorder="1"/>
    <xf numFmtId="168" fontId="16" fillId="2" borderId="20" xfId="6" applyNumberFormat="1" applyFont="1" applyFill="1" applyBorder="1"/>
    <xf numFmtId="0" fontId="16" fillId="2" borderId="0" xfId="8" applyFont="1" applyFill="1"/>
    <xf numFmtId="0" fontId="44" fillId="2" borderId="0" xfId="0" applyFont="1" applyFill="1"/>
    <xf numFmtId="43" fontId="44" fillId="2" borderId="0" xfId="1" applyFont="1" applyFill="1"/>
    <xf numFmtId="171" fontId="44" fillId="2" borderId="0" xfId="0" applyNumberFormat="1" applyFont="1" applyFill="1"/>
    <xf numFmtId="168" fontId="17" fillId="5" borderId="20" xfId="6" applyNumberFormat="1" applyFont="1" applyFill="1" applyBorder="1"/>
    <xf numFmtId="169" fontId="17" fillId="5" borderId="0" xfId="6" applyNumberFormat="1" applyFont="1" applyFill="1" applyBorder="1"/>
    <xf numFmtId="167" fontId="16" fillId="5" borderId="0" xfId="2" applyNumberFormat="1" applyFont="1" applyFill="1" applyBorder="1"/>
    <xf numFmtId="167" fontId="16" fillId="2" borderId="0" xfId="7" applyNumberFormat="1" applyFont="1" applyFill="1" applyBorder="1"/>
    <xf numFmtId="165" fontId="16" fillId="5" borderId="0" xfId="3" applyNumberFormat="1" applyFont="1" applyFill="1" applyBorder="1"/>
    <xf numFmtId="0" fontId="11" fillId="2" borderId="0" xfId="5" applyFont="1" applyFill="1"/>
    <xf numFmtId="166" fontId="11" fillId="2" borderId="0" xfId="6" quotePrefix="1" applyNumberFormat="1" applyFont="1" applyFill="1" applyAlignment="1">
      <alignment horizontal="center" wrapText="1"/>
    </xf>
    <xf numFmtId="0" fontId="26" fillId="2" borderId="16" xfId="0" applyFont="1" applyFill="1" applyBorder="1" applyAlignment="1">
      <alignment horizontal="left" vertical="center" wrapText="1" readingOrder="1"/>
    </xf>
    <xf numFmtId="0" fontId="28" fillId="2" borderId="16" xfId="0" applyFont="1" applyFill="1" applyBorder="1" applyAlignment="1">
      <alignment horizontal="left" vertical="center" wrapText="1" readingOrder="1"/>
    </xf>
    <xf numFmtId="0" fontId="17" fillId="2" borderId="24" xfId="0" applyFont="1" applyFill="1" applyBorder="1" applyAlignment="1">
      <alignment horizontal="center" vertical="center" wrapText="1" readingOrder="1"/>
    </xf>
    <xf numFmtId="7" fontId="27" fillId="2" borderId="12" xfId="0" applyNumberFormat="1" applyFont="1" applyFill="1" applyBorder="1" applyAlignment="1">
      <alignment horizontal="center" vertical="center" wrapText="1" readingOrder="1"/>
    </xf>
    <xf numFmtId="167" fontId="16" fillId="2" borderId="0" xfId="2" applyNumberFormat="1" applyFont="1" applyFill="1" applyBorder="1"/>
    <xf numFmtId="169" fontId="17" fillId="2" borderId="0" xfId="6" applyNumberFormat="1" applyFont="1" applyFill="1" applyBorder="1"/>
    <xf numFmtId="0" fontId="11" fillId="2" borderId="0" xfId="5" applyFont="1" applyFill="1" applyAlignment="1">
      <alignment horizontal="center" wrapText="1"/>
    </xf>
    <xf numFmtId="166" fontId="11" fillId="2" borderId="0" xfId="6" quotePrefix="1" applyNumberFormat="1" applyFont="1" applyFill="1" applyBorder="1" applyAlignment="1">
      <alignment horizontal="center" wrapText="1"/>
    </xf>
    <xf numFmtId="168" fontId="17" fillId="2" borderId="0" xfId="7" applyNumberFormat="1" applyFont="1" applyFill="1" applyBorder="1"/>
    <xf numFmtId="168" fontId="16" fillId="2" borderId="0" xfId="6" applyNumberFormat="1" applyFont="1" applyFill="1" applyBorder="1"/>
    <xf numFmtId="168" fontId="17" fillId="2" borderId="0" xfId="6" applyNumberFormat="1" applyFont="1" applyFill="1" applyBorder="1"/>
    <xf numFmtId="169" fontId="16" fillId="2" borderId="0" xfId="6" applyNumberFormat="1" applyFont="1" applyFill="1" applyBorder="1"/>
    <xf numFmtId="168" fontId="16" fillId="2" borderId="0" xfId="7" applyNumberFormat="1" applyFont="1" applyFill="1" applyBorder="1"/>
    <xf numFmtId="166" fontId="33" fillId="2" borderId="0" xfId="1" applyNumberFormat="1" applyFont="1" applyFill="1" applyBorder="1"/>
    <xf numFmtId="167" fontId="32" fillId="2" borderId="0" xfId="2" applyNumberFormat="1" applyFont="1" applyFill="1" applyBorder="1"/>
    <xf numFmtId="165" fontId="32" fillId="2" borderId="0" xfId="3" applyNumberFormat="1" applyFont="1" applyFill="1" applyBorder="1" applyAlignment="1">
      <alignment horizontal="right"/>
    </xf>
    <xf numFmtId="165" fontId="37" fillId="2" borderId="0" xfId="3" applyNumberFormat="1" applyFont="1" applyFill="1" applyBorder="1" applyAlignment="1">
      <alignment horizontal="right"/>
    </xf>
    <xf numFmtId="167" fontId="17" fillId="2" borderId="0" xfId="7" applyNumberFormat="1" applyFont="1" applyFill="1" applyBorder="1"/>
    <xf numFmtId="167" fontId="37" fillId="2" borderId="0" xfId="2" applyNumberFormat="1" applyFont="1" applyFill="1" applyBorder="1"/>
    <xf numFmtId="166" fontId="32" fillId="2" borderId="0" xfId="1" applyNumberFormat="1" applyFont="1" applyFill="1" applyBorder="1"/>
    <xf numFmtId="169" fontId="32" fillId="2" borderId="0" xfId="1" applyNumberFormat="1" applyFont="1" applyFill="1" applyBorder="1"/>
    <xf numFmtId="165" fontId="37" fillId="2" borderId="0" xfId="3" applyNumberFormat="1" applyFont="1" applyFill="1" applyBorder="1"/>
    <xf numFmtId="169" fontId="32" fillId="2" borderId="0" xfId="1" applyNumberFormat="1" applyFont="1" applyFill="1" applyBorder="1" applyAlignment="1">
      <alignment horizontal="center"/>
    </xf>
    <xf numFmtId="165" fontId="16" fillId="2" borderId="0" xfId="3" applyNumberFormat="1" applyFont="1" applyFill="1" applyBorder="1"/>
    <xf numFmtId="167" fontId="16" fillId="2" borderId="0" xfId="7" applyNumberFormat="1" applyFont="1" applyFill="1" applyBorder="1" applyAlignment="1">
      <alignment vertical="top"/>
    </xf>
    <xf numFmtId="170" fontId="16" fillId="2" borderId="0" xfId="7" applyNumberFormat="1" applyFont="1" applyFill="1" applyBorder="1"/>
    <xf numFmtId="166" fontId="8" fillId="2" borderId="0" xfId="1" applyNumberFormat="1" applyFont="1" applyFill="1" applyBorder="1"/>
    <xf numFmtId="165" fontId="8" fillId="2" borderId="0" xfId="3" applyNumberFormat="1" applyFont="1" applyFill="1" applyBorder="1"/>
    <xf numFmtId="44" fontId="17" fillId="2" borderId="0" xfId="7" applyFont="1" applyFill="1" applyBorder="1" applyAlignment="1">
      <alignment horizontal="left" vertical="top"/>
    </xf>
    <xf numFmtId="166" fontId="16" fillId="2" borderId="0" xfId="6" applyNumberFormat="1" applyFont="1" applyFill="1" applyBorder="1"/>
    <xf numFmtId="166" fontId="17" fillId="2" borderId="0" xfId="5" applyNumberFormat="1" applyFont="1" applyFill="1"/>
    <xf numFmtId="165" fontId="22" fillId="2" borderId="0" xfId="3" applyNumberFormat="1" applyFont="1" applyFill="1" applyBorder="1" applyAlignment="1">
      <alignment horizontal="center" vertical="center" wrapText="1" readingOrder="1"/>
    </xf>
    <xf numFmtId="165" fontId="17" fillId="2" borderId="0" xfId="3" applyNumberFormat="1" applyFont="1" applyFill="1" applyBorder="1" applyAlignment="1">
      <alignment horizontal="center" vertical="center" wrapText="1" readingOrder="1"/>
    </xf>
    <xf numFmtId="164" fontId="27" fillId="2" borderId="0" xfId="0" applyNumberFormat="1" applyFont="1" applyFill="1" applyAlignment="1">
      <alignment horizontal="center" vertical="center" wrapText="1" readingOrder="1"/>
    </xf>
    <xf numFmtId="165" fontId="29" fillId="2" borderId="0" xfId="3" applyNumberFormat="1" applyFont="1" applyFill="1" applyBorder="1" applyAlignment="1">
      <alignment horizontal="center" vertical="center" wrapText="1" readingOrder="1"/>
    </xf>
    <xf numFmtId="172" fontId="27" fillId="2" borderId="0" xfId="0" applyNumberFormat="1" applyFont="1" applyFill="1" applyAlignment="1">
      <alignment horizontal="center" vertical="center" wrapText="1" readingOrder="1"/>
    </xf>
    <xf numFmtId="7" fontId="27" fillId="2" borderId="0" xfId="0" applyNumberFormat="1" applyFont="1" applyFill="1" applyAlignment="1">
      <alignment horizontal="center" vertical="center" wrapText="1" readingOrder="1"/>
    </xf>
    <xf numFmtId="0" fontId="11"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14" fontId="11" fillId="2" borderId="0" xfId="0" applyNumberFormat="1" applyFont="1" applyFill="1" applyAlignment="1">
      <alignment horizontal="center" vertical="center" wrapText="1" readingOrder="1"/>
    </xf>
    <xf numFmtId="164" fontId="17" fillId="2" borderId="16" xfId="0" applyNumberFormat="1" applyFont="1" applyFill="1" applyBorder="1" applyAlignment="1">
      <alignment horizontal="center" vertical="center" wrapText="1" readingOrder="1"/>
    </xf>
    <xf numFmtId="165" fontId="22" fillId="2" borderId="16" xfId="3" applyNumberFormat="1" applyFont="1" applyFill="1" applyBorder="1" applyAlignment="1">
      <alignment horizontal="center" vertical="center" wrapText="1" readingOrder="1"/>
    </xf>
    <xf numFmtId="165" fontId="22" fillId="0" borderId="16" xfId="3" applyNumberFormat="1" applyFont="1" applyBorder="1" applyAlignment="1">
      <alignment horizontal="center" vertical="center" wrapText="1" readingOrder="1"/>
    </xf>
    <xf numFmtId="165" fontId="17" fillId="2" borderId="16" xfId="3" applyNumberFormat="1" applyFont="1" applyFill="1" applyBorder="1" applyAlignment="1">
      <alignment horizontal="center" vertical="center" wrapText="1" readingOrder="1"/>
    </xf>
    <xf numFmtId="0" fontId="11" fillId="4" borderId="26" xfId="0" applyFont="1" applyFill="1" applyBorder="1" applyAlignment="1">
      <alignment horizontal="center" vertical="center" wrapText="1" readingOrder="1"/>
    </xf>
    <xf numFmtId="0" fontId="14" fillId="4" borderId="27" xfId="0" applyFont="1" applyFill="1" applyBorder="1" applyAlignment="1">
      <alignment horizontal="center" vertical="center" wrapText="1" readingOrder="1"/>
    </xf>
    <xf numFmtId="164" fontId="17" fillId="2" borderId="28" xfId="0" applyNumberFormat="1" applyFont="1" applyFill="1" applyBorder="1" applyAlignment="1">
      <alignment horizontal="center" vertical="center" wrapText="1" readingOrder="1"/>
    </xf>
    <xf numFmtId="164" fontId="17" fillId="2" borderId="29" xfId="0" applyNumberFormat="1" applyFont="1" applyFill="1" applyBorder="1" applyAlignment="1">
      <alignment horizontal="center" vertical="center" wrapText="1" readingOrder="1"/>
    </xf>
    <xf numFmtId="165" fontId="22" fillId="2" borderId="28" xfId="3" applyNumberFormat="1" applyFont="1" applyFill="1" applyBorder="1" applyAlignment="1">
      <alignment horizontal="center" vertical="center" wrapText="1" readingOrder="1"/>
    </xf>
    <xf numFmtId="165" fontId="22" fillId="2" borderId="29" xfId="3" applyNumberFormat="1" applyFont="1" applyFill="1" applyBorder="1" applyAlignment="1">
      <alignment horizontal="center" vertical="center" wrapText="1" readingOrder="1"/>
    </xf>
    <xf numFmtId="165" fontId="22" fillId="2" borderId="30" xfId="3" applyNumberFormat="1" applyFont="1" applyFill="1" applyBorder="1" applyAlignment="1">
      <alignment horizontal="center" vertical="center" wrapText="1" readingOrder="1"/>
    </xf>
    <xf numFmtId="165" fontId="22" fillId="2" borderId="31" xfId="3" applyNumberFormat="1" applyFont="1" applyFill="1" applyBorder="1" applyAlignment="1">
      <alignment horizontal="center" vertical="center" wrapText="1" readingOrder="1"/>
    </xf>
    <xf numFmtId="165" fontId="22" fillId="2" borderId="32" xfId="3" applyNumberFormat="1" applyFont="1" applyFill="1" applyBorder="1" applyAlignment="1">
      <alignment horizontal="center" vertical="center" wrapText="1" readingOrder="1"/>
    </xf>
    <xf numFmtId="165" fontId="22" fillId="0" borderId="33" xfId="3" applyNumberFormat="1" applyFont="1" applyBorder="1" applyAlignment="1">
      <alignment horizontal="center" vertical="center" wrapText="1" readingOrder="1"/>
    </xf>
    <xf numFmtId="165" fontId="22" fillId="0" borderId="34" xfId="3" applyNumberFormat="1" applyFont="1" applyBorder="1" applyAlignment="1">
      <alignment horizontal="center" vertical="center" wrapText="1" readingOrder="1"/>
    </xf>
    <xf numFmtId="165" fontId="22" fillId="0" borderId="35" xfId="3" applyNumberFormat="1" applyFont="1" applyBorder="1" applyAlignment="1">
      <alignment horizontal="center" vertical="center" wrapText="1" readingOrder="1"/>
    </xf>
    <xf numFmtId="165" fontId="22" fillId="0" borderId="30" xfId="3" applyNumberFormat="1" applyFont="1" applyBorder="1" applyAlignment="1">
      <alignment horizontal="center" vertical="center" wrapText="1" readingOrder="1"/>
    </xf>
    <xf numFmtId="165" fontId="22" fillId="0" borderId="31" xfId="3" applyNumberFormat="1" applyFont="1" applyBorder="1" applyAlignment="1">
      <alignment horizontal="center" vertical="center" wrapText="1" readingOrder="1"/>
    </xf>
    <xf numFmtId="165" fontId="22" fillId="0" borderId="32" xfId="3" applyNumberFormat="1" applyFont="1" applyBorder="1" applyAlignment="1">
      <alignment horizontal="center" vertical="center" wrapText="1" readingOrder="1"/>
    </xf>
    <xf numFmtId="164" fontId="17" fillId="2" borderId="33" xfId="0" applyNumberFormat="1" applyFont="1" applyFill="1" applyBorder="1" applyAlignment="1">
      <alignment horizontal="center" vertical="center" wrapText="1" readingOrder="1"/>
    </xf>
    <xf numFmtId="164" fontId="17" fillId="2" borderId="34" xfId="0" applyNumberFormat="1" applyFont="1" applyFill="1" applyBorder="1" applyAlignment="1">
      <alignment horizontal="center" vertical="center" wrapText="1" readingOrder="1"/>
    </xf>
    <xf numFmtId="164" fontId="17" fillId="2" borderId="35" xfId="0" applyNumberFormat="1" applyFont="1" applyFill="1" applyBorder="1" applyAlignment="1">
      <alignment horizontal="center" vertical="center" wrapText="1" readingOrder="1"/>
    </xf>
    <xf numFmtId="164" fontId="22" fillId="2" borderId="28" xfId="0" applyNumberFormat="1" applyFont="1" applyFill="1" applyBorder="1" applyAlignment="1">
      <alignment horizontal="center" vertical="center" wrapText="1" readingOrder="1"/>
    </xf>
    <xf numFmtId="165" fontId="17" fillId="2" borderId="28" xfId="3" applyNumberFormat="1" applyFont="1" applyFill="1" applyBorder="1" applyAlignment="1">
      <alignment horizontal="center" vertical="center" wrapText="1" readingOrder="1"/>
    </xf>
    <xf numFmtId="165" fontId="17" fillId="2" borderId="29" xfId="3" applyNumberFormat="1" applyFont="1" applyFill="1" applyBorder="1" applyAlignment="1">
      <alignment horizontal="center" vertical="center" wrapText="1" readingOrder="1"/>
    </xf>
    <xf numFmtId="164" fontId="17" fillId="0" borderId="28" xfId="0" applyNumberFormat="1" applyFont="1" applyBorder="1" applyAlignment="1">
      <alignment horizontal="center" vertical="center" wrapText="1" readingOrder="1"/>
    </xf>
    <xf numFmtId="164" fontId="17" fillId="0" borderId="29" xfId="0" applyNumberFormat="1" applyFont="1" applyBorder="1" applyAlignment="1">
      <alignment horizontal="center" vertical="center" wrapText="1" readingOrder="1"/>
    </xf>
    <xf numFmtId="164" fontId="22" fillId="0" borderId="28" xfId="0" applyNumberFormat="1" applyFont="1" applyBorder="1" applyAlignment="1">
      <alignment horizontal="center" vertical="center" wrapText="1" readingOrder="1"/>
    </xf>
    <xf numFmtId="165" fontId="22" fillId="0" borderId="29" xfId="3" applyNumberFormat="1" applyFont="1" applyBorder="1" applyAlignment="1">
      <alignment horizontal="center" vertical="center" wrapText="1" readingOrder="1"/>
    </xf>
    <xf numFmtId="164" fontId="27" fillId="2" borderId="33" xfId="0" applyNumberFormat="1" applyFont="1" applyFill="1" applyBorder="1" applyAlignment="1">
      <alignment horizontal="center" vertical="center" wrapText="1" readingOrder="1"/>
    </xf>
    <xf numFmtId="164" fontId="27" fillId="2" borderId="34" xfId="0" applyNumberFormat="1" applyFont="1" applyFill="1" applyBorder="1" applyAlignment="1">
      <alignment horizontal="center" vertical="center" wrapText="1" readingOrder="1"/>
    </xf>
    <xf numFmtId="164" fontId="27" fillId="2" borderId="35" xfId="0" applyNumberFormat="1" applyFont="1" applyFill="1" applyBorder="1" applyAlignment="1">
      <alignment horizontal="center" vertical="center" wrapText="1" readingOrder="1"/>
    </xf>
    <xf numFmtId="165" fontId="29" fillId="2" borderId="28" xfId="3" applyNumberFormat="1" applyFont="1" applyFill="1" applyBorder="1" applyAlignment="1">
      <alignment horizontal="center" vertical="center" wrapText="1" readingOrder="1"/>
    </xf>
    <xf numFmtId="165" fontId="29" fillId="2" borderId="29" xfId="3" applyNumberFormat="1" applyFont="1" applyFill="1" applyBorder="1" applyAlignment="1">
      <alignment horizontal="center" vertical="center" wrapText="1" readingOrder="1"/>
    </xf>
    <xf numFmtId="172" fontId="27" fillId="2" borderId="33" xfId="0" applyNumberFormat="1" applyFont="1" applyFill="1" applyBorder="1" applyAlignment="1">
      <alignment horizontal="center" vertical="center" wrapText="1" readingOrder="1"/>
    </xf>
    <xf numFmtId="172" fontId="27" fillId="2" borderId="34" xfId="0" applyNumberFormat="1" applyFont="1" applyFill="1" applyBorder="1" applyAlignment="1">
      <alignment horizontal="center" vertical="center" wrapText="1" readingOrder="1"/>
    </xf>
    <xf numFmtId="172" fontId="27" fillId="2" borderId="35" xfId="0" applyNumberFormat="1" applyFont="1" applyFill="1" applyBorder="1" applyAlignment="1">
      <alignment horizontal="center" vertical="center" wrapText="1" readingOrder="1"/>
    </xf>
    <xf numFmtId="0" fontId="30" fillId="2" borderId="28" xfId="0" applyFont="1" applyFill="1" applyBorder="1" applyAlignment="1">
      <alignment horizontal="center" vertical="top" wrapText="1"/>
    </xf>
    <xf numFmtId="164" fontId="27" fillId="2" borderId="29" xfId="0" applyNumberFormat="1" applyFont="1" applyFill="1" applyBorder="1" applyAlignment="1">
      <alignment horizontal="center" vertical="center" wrapText="1" readingOrder="1"/>
    </xf>
    <xf numFmtId="0" fontId="31" fillId="2" borderId="28" xfId="0" applyFont="1" applyFill="1" applyBorder="1" applyAlignment="1">
      <alignment horizontal="center" vertical="top" wrapText="1"/>
    </xf>
    <xf numFmtId="7" fontId="27" fillId="2" borderId="30" xfId="0" applyNumberFormat="1" applyFont="1" applyFill="1" applyBorder="1" applyAlignment="1">
      <alignment horizontal="center" vertical="center" wrapText="1" readingOrder="1"/>
    </xf>
    <xf numFmtId="7" fontId="27" fillId="2" borderId="31" xfId="0" applyNumberFormat="1" applyFont="1" applyFill="1" applyBorder="1" applyAlignment="1">
      <alignment horizontal="center" vertical="center" wrapText="1" readingOrder="1"/>
    </xf>
    <xf numFmtId="165" fontId="22" fillId="0" borderId="39" xfId="3" applyNumberFormat="1" applyFont="1" applyBorder="1" applyAlignment="1">
      <alignment horizontal="center" vertical="center" wrapText="1" readingOrder="1"/>
    </xf>
    <xf numFmtId="165" fontId="22" fillId="0" borderId="40" xfId="3" applyNumberFormat="1" applyFont="1" applyBorder="1" applyAlignment="1">
      <alignment horizontal="center" vertical="center" wrapText="1" readingOrder="1"/>
    </xf>
    <xf numFmtId="164" fontId="17" fillId="2" borderId="19" xfId="0" applyNumberFormat="1" applyFont="1" applyFill="1" applyBorder="1" applyAlignment="1">
      <alignment horizontal="center" vertical="center" wrapText="1" readingOrder="1"/>
    </xf>
    <xf numFmtId="164" fontId="17" fillId="2" borderId="40" xfId="0" applyNumberFormat="1" applyFont="1" applyFill="1" applyBorder="1" applyAlignment="1">
      <alignment horizontal="center" vertical="center" wrapText="1" readingOrder="1"/>
    </xf>
    <xf numFmtId="164" fontId="22" fillId="2" borderId="40" xfId="0" applyNumberFormat="1" applyFont="1" applyFill="1" applyBorder="1" applyAlignment="1">
      <alignment horizontal="center" vertical="center" wrapText="1" readingOrder="1"/>
    </xf>
    <xf numFmtId="165" fontId="17" fillId="2" borderId="40" xfId="3" applyNumberFormat="1" applyFont="1" applyFill="1" applyBorder="1" applyAlignment="1">
      <alignment horizontal="center" vertical="center" wrapText="1" readingOrder="1"/>
    </xf>
    <xf numFmtId="164" fontId="17" fillId="0" borderId="40" xfId="0" applyNumberFormat="1" applyFont="1" applyBorder="1" applyAlignment="1">
      <alignment horizontal="center" vertical="center" wrapText="1" readingOrder="1"/>
    </xf>
    <xf numFmtId="164" fontId="22" fillId="0" borderId="40" xfId="0" applyNumberFormat="1" applyFont="1" applyBorder="1" applyAlignment="1">
      <alignment horizontal="center" vertical="center" wrapText="1" readingOrder="1"/>
    </xf>
    <xf numFmtId="0" fontId="18" fillId="0" borderId="0" xfId="0" applyFont="1"/>
    <xf numFmtId="165" fontId="22" fillId="0" borderId="12" xfId="3" applyNumberFormat="1" applyFont="1" applyFill="1" applyBorder="1" applyAlignment="1">
      <alignment horizontal="center" vertical="center" wrapText="1" readingOrder="1"/>
    </xf>
    <xf numFmtId="165" fontId="22" fillId="0" borderId="29" xfId="3" applyNumberFormat="1" applyFont="1" applyFill="1" applyBorder="1" applyAlignment="1">
      <alignment horizontal="center" vertical="center" wrapText="1" readingOrder="1"/>
    </xf>
    <xf numFmtId="165" fontId="22" fillId="0" borderId="31" xfId="3" applyNumberFormat="1" applyFont="1" applyFill="1" applyBorder="1" applyAlignment="1">
      <alignment horizontal="center" vertical="center" wrapText="1" readingOrder="1"/>
    </xf>
    <xf numFmtId="165" fontId="22" fillId="0" borderId="32" xfId="3" applyNumberFormat="1" applyFont="1" applyFill="1" applyBorder="1" applyAlignment="1">
      <alignment horizontal="center" vertical="center" wrapText="1" readingOrder="1"/>
    </xf>
    <xf numFmtId="167" fontId="16" fillId="2" borderId="20" xfId="2" applyNumberFormat="1" applyFont="1" applyFill="1" applyBorder="1"/>
    <xf numFmtId="167" fontId="16" fillId="2" borderId="0" xfId="2" applyNumberFormat="1" applyFont="1" applyFill="1"/>
    <xf numFmtId="173" fontId="32" fillId="2" borderId="0" xfId="0" applyNumberFormat="1" applyFont="1" applyFill="1"/>
    <xf numFmtId="168" fontId="16" fillId="2" borderId="0" xfId="7" applyNumberFormat="1" applyFont="1" applyFill="1" applyBorder="1" applyAlignment="1">
      <alignment vertical="top"/>
    </xf>
    <xf numFmtId="7" fontId="27" fillId="2" borderId="32" xfId="0" applyNumberFormat="1" applyFont="1" applyFill="1" applyBorder="1" applyAlignment="1">
      <alignment horizontal="center" vertical="center" wrapText="1" readingOrder="1"/>
    </xf>
    <xf numFmtId="7" fontId="23" fillId="2" borderId="0" xfId="0" applyNumberFormat="1" applyFont="1" applyFill="1" applyAlignment="1">
      <alignment horizontal="center"/>
    </xf>
    <xf numFmtId="165" fontId="22" fillId="0" borderId="0" xfId="3" applyNumberFormat="1" applyFont="1" applyFill="1" applyBorder="1" applyAlignment="1">
      <alignment horizontal="center" vertical="center" wrapText="1" readingOrder="1"/>
    </xf>
    <xf numFmtId="0" fontId="17" fillId="2" borderId="0" xfId="0" applyFont="1" applyFill="1" applyAlignment="1">
      <alignment horizontal="left" vertical="center" wrapText="1" readingOrder="1"/>
    </xf>
    <xf numFmtId="0" fontId="45" fillId="2" borderId="0" xfId="0" applyFont="1" applyFill="1" applyAlignment="1">
      <alignment wrapText="1"/>
    </xf>
    <xf numFmtId="0" fontId="22" fillId="2" borderId="0" xfId="0" applyFont="1" applyFill="1" applyAlignment="1">
      <alignment vertical="center" wrapText="1"/>
    </xf>
    <xf numFmtId="0" fontId="17" fillId="2" borderId="0" xfId="0" applyFont="1" applyFill="1" applyAlignment="1">
      <alignment wrapText="1"/>
    </xf>
    <xf numFmtId="173" fontId="33" fillId="2" borderId="0" xfId="0" applyNumberFormat="1" applyFont="1" applyFill="1"/>
    <xf numFmtId="164" fontId="22" fillId="2" borderId="42" xfId="0" applyNumberFormat="1" applyFont="1" applyFill="1" applyBorder="1" applyAlignment="1">
      <alignment horizontal="center" vertical="center" wrapText="1" readingOrder="1"/>
    </xf>
    <xf numFmtId="165" fontId="17" fillId="2" borderId="42" xfId="3" applyNumberFormat="1" applyFont="1" applyFill="1" applyBorder="1" applyAlignment="1">
      <alignment horizontal="center" vertical="center" wrapText="1" readingOrder="1"/>
    </xf>
    <xf numFmtId="165" fontId="17" fillId="2" borderId="43" xfId="3" applyNumberFormat="1" applyFont="1" applyFill="1" applyBorder="1" applyAlignment="1">
      <alignment horizontal="center" vertical="center" wrapText="1" readingOrder="1"/>
    </xf>
    <xf numFmtId="165" fontId="22" fillId="2" borderId="3" xfId="3" applyNumberFormat="1" applyFont="1" applyFill="1" applyBorder="1" applyAlignment="1">
      <alignment horizontal="center" vertical="center" wrapText="1" readingOrder="1"/>
    </xf>
    <xf numFmtId="164" fontId="22" fillId="2" borderId="43" xfId="0" applyNumberFormat="1" applyFont="1" applyFill="1" applyBorder="1" applyAlignment="1">
      <alignment horizontal="center" vertical="center" wrapText="1" readingOrder="1"/>
    </xf>
    <xf numFmtId="164" fontId="17" fillId="2" borderId="45" xfId="0" applyNumberFormat="1" applyFont="1" applyFill="1" applyBorder="1" applyAlignment="1">
      <alignment horizontal="center" vertical="center" wrapText="1" readingOrder="1"/>
    </xf>
    <xf numFmtId="165" fontId="22" fillId="2" borderId="39" xfId="3" applyNumberFormat="1" applyFont="1" applyFill="1" applyBorder="1" applyAlignment="1">
      <alignment horizontal="center" vertical="center" wrapText="1" readingOrder="1"/>
    </xf>
    <xf numFmtId="164" fontId="22" fillId="2" borderId="39" xfId="0" applyNumberFormat="1" applyFont="1" applyFill="1" applyBorder="1" applyAlignment="1">
      <alignment horizontal="center" vertical="center" wrapText="1" readingOrder="1"/>
    </xf>
    <xf numFmtId="0" fontId="20" fillId="2" borderId="2" xfId="0" applyFont="1" applyFill="1" applyBorder="1" applyAlignment="1">
      <alignment horizontal="left" vertical="center" wrapText="1" readingOrder="1"/>
    </xf>
    <xf numFmtId="0" fontId="20" fillId="2" borderId="19" xfId="0" applyFont="1" applyFill="1" applyBorder="1" applyAlignment="1">
      <alignment horizontal="left" vertical="center" wrapText="1" readingOrder="1"/>
    </xf>
    <xf numFmtId="164" fontId="17" fillId="2" borderId="42" xfId="0" applyNumberFormat="1" applyFont="1" applyFill="1" applyBorder="1" applyAlignment="1">
      <alignment horizontal="center" vertical="center" wrapText="1" readingOrder="1"/>
    </xf>
    <xf numFmtId="164" fontId="17" fillId="2" borderId="43" xfId="0" applyNumberFormat="1" applyFont="1" applyFill="1" applyBorder="1" applyAlignment="1">
      <alignment horizontal="center" vertical="center" wrapText="1" readingOrder="1"/>
    </xf>
    <xf numFmtId="164" fontId="17" fillId="2" borderId="41" xfId="0" applyNumberFormat="1" applyFont="1" applyFill="1" applyBorder="1" applyAlignment="1">
      <alignment horizontal="center" vertical="center" wrapText="1" readingOrder="1"/>
    </xf>
    <xf numFmtId="164" fontId="22" fillId="2" borderId="44" xfId="0" applyNumberFormat="1" applyFont="1" applyFill="1" applyBorder="1" applyAlignment="1">
      <alignment horizontal="center" vertical="center" wrapText="1" readingOrder="1"/>
    </xf>
    <xf numFmtId="164" fontId="22" fillId="2" borderId="30" xfId="0" applyNumberFormat="1" applyFont="1" applyFill="1" applyBorder="1" applyAlignment="1">
      <alignment horizontal="center" vertical="center" wrapText="1" readingOrder="1"/>
    </xf>
    <xf numFmtId="164" fontId="22" fillId="2" borderId="48" xfId="0" applyNumberFormat="1" applyFont="1" applyFill="1" applyBorder="1" applyAlignment="1">
      <alignment horizontal="center" vertical="center" wrapText="1" readingOrder="1"/>
    </xf>
    <xf numFmtId="0" fontId="20" fillId="2" borderId="18" xfId="0" applyFont="1" applyFill="1" applyBorder="1" applyAlignment="1">
      <alignment horizontal="left" vertical="center" wrapText="1" readingOrder="1"/>
    </xf>
    <xf numFmtId="164" fontId="22" fillId="2" borderId="36" xfId="0" applyNumberFormat="1" applyFont="1" applyFill="1" applyBorder="1" applyAlignment="1">
      <alignment horizontal="center" vertical="center" wrapText="1" readingOrder="1"/>
    </xf>
    <xf numFmtId="165" fontId="22" fillId="2" borderId="46" xfId="3" applyNumberFormat="1" applyFont="1" applyFill="1" applyBorder="1" applyAlignment="1">
      <alignment horizontal="center" vertical="center" wrapText="1" readingOrder="1"/>
    </xf>
    <xf numFmtId="165" fontId="22" fillId="2" borderId="38" xfId="3" applyNumberFormat="1" applyFont="1" applyFill="1" applyBorder="1" applyAlignment="1">
      <alignment horizontal="center" vertical="center" wrapText="1" readingOrder="1"/>
    </xf>
    <xf numFmtId="165" fontId="22" fillId="2" borderId="47" xfId="3" applyNumberFormat="1" applyFont="1" applyFill="1" applyBorder="1" applyAlignment="1">
      <alignment horizontal="center" vertical="center" wrapText="1" readingOrder="1"/>
    </xf>
    <xf numFmtId="164" fontId="22" fillId="2" borderId="38" xfId="0" applyNumberFormat="1" applyFont="1" applyFill="1" applyBorder="1" applyAlignment="1">
      <alignment horizontal="center" vertical="center" wrapText="1" readingOrder="1"/>
    </xf>
    <xf numFmtId="0" fontId="20" fillId="2" borderId="24" xfId="0" applyFont="1" applyFill="1" applyBorder="1" applyAlignment="1">
      <alignment horizontal="left" vertical="center" wrapText="1" readingOrder="1"/>
    </xf>
    <xf numFmtId="0" fontId="20" fillId="2" borderId="49" xfId="0" applyFont="1" applyFill="1" applyBorder="1" applyAlignment="1">
      <alignment horizontal="left" vertical="center" wrapText="1" readingOrder="1"/>
    </xf>
    <xf numFmtId="0" fontId="20" fillId="2" borderId="17" xfId="0" applyFont="1" applyFill="1" applyBorder="1" applyAlignment="1">
      <alignment horizontal="left" vertical="center" wrapText="1" readingOrder="1"/>
    </xf>
    <xf numFmtId="164" fontId="22" fillId="0" borderId="50" xfId="0" applyNumberFormat="1" applyFont="1" applyBorder="1" applyAlignment="1">
      <alignment horizontal="center" vertical="center" wrapText="1" readingOrder="1"/>
    </xf>
    <xf numFmtId="165" fontId="22" fillId="0" borderId="5" xfId="3" applyNumberFormat="1" applyFont="1" applyBorder="1" applyAlignment="1">
      <alignment horizontal="center" vertical="center" wrapText="1" readingOrder="1"/>
    </xf>
    <xf numFmtId="165" fontId="22" fillId="0" borderId="11" xfId="3" applyNumberFormat="1" applyFont="1" applyBorder="1" applyAlignment="1">
      <alignment horizontal="center" vertical="center" wrapText="1" readingOrder="1"/>
    </xf>
    <xf numFmtId="165" fontId="17" fillId="2" borderId="7" xfId="3" applyNumberFormat="1" applyFont="1" applyFill="1" applyBorder="1" applyAlignment="1">
      <alignment horizontal="center" vertical="center" wrapText="1" readingOrder="1"/>
    </xf>
    <xf numFmtId="165" fontId="17" fillId="2" borderId="5" xfId="3" applyNumberFormat="1" applyFont="1" applyFill="1" applyBorder="1" applyAlignment="1">
      <alignment horizontal="center" vertical="center" wrapText="1" readingOrder="1"/>
    </xf>
    <xf numFmtId="164" fontId="22" fillId="0" borderId="0" xfId="0" applyNumberFormat="1" applyFont="1" applyBorder="1" applyAlignment="1">
      <alignment horizontal="center" vertical="center" wrapText="1" readingOrder="1"/>
    </xf>
    <xf numFmtId="165" fontId="22" fillId="0" borderId="5" xfId="3" applyNumberFormat="1" applyFont="1" applyFill="1" applyBorder="1" applyAlignment="1">
      <alignment horizontal="center" vertical="center" wrapText="1" readingOrder="1"/>
    </xf>
    <xf numFmtId="164" fontId="22" fillId="0" borderId="7" xfId="0" applyNumberFormat="1" applyFont="1" applyBorder="1" applyAlignment="1">
      <alignment horizontal="center" vertical="center" wrapText="1" readingOrder="1"/>
    </xf>
    <xf numFmtId="165" fontId="22" fillId="2" borderId="7" xfId="3" applyNumberFormat="1" applyFont="1" applyFill="1" applyBorder="1" applyAlignment="1">
      <alignment horizontal="center" vertical="center" wrapText="1" readingOrder="1"/>
    </xf>
    <xf numFmtId="164" fontId="22" fillId="0" borderId="14" xfId="0" applyNumberFormat="1" applyFont="1" applyBorder="1" applyAlignment="1">
      <alignment horizontal="center" vertical="center" wrapText="1" readingOrder="1"/>
    </xf>
    <xf numFmtId="165" fontId="22" fillId="0" borderId="7" xfId="3" applyNumberFormat="1" applyFont="1" applyFill="1" applyBorder="1" applyAlignment="1">
      <alignment horizontal="center" vertical="center" wrapText="1" readingOrder="1"/>
    </xf>
    <xf numFmtId="0" fontId="17" fillId="2" borderId="0" xfId="0" applyFont="1" applyFill="1" applyAlignment="1">
      <alignment horizontal="left" vertical="top" wrapText="1" readingOrder="1"/>
    </xf>
    <xf numFmtId="0" fontId="15" fillId="2" borderId="17" xfId="0" applyFont="1" applyFill="1" applyBorder="1" applyAlignment="1">
      <alignment horizontal="center" vertical="center" textRotation="90" wrapText="1" readingOrder="1"/>
    </xf>
    <xf numFmtId="0" fontId="15" fillId="2" borderId="18" xfId="0" applyFont="1" applyFill="1" applyBorder="1" applyAlignment="1">
      <alignment horizontal="center" vertical="center" textRotation="90" wrapText="1" readingOrder="1"/>
    </xf>
    <xf numFmtId="0" fontId="15" fillId="2" borderId="19" xfId="0" applyFont="1" applyFill="1" applyBorder="1" applyAlignment="1">
      <alignment horizontal="center" vertical="center" textRotation="90" wrapText="1" readingOrder="1"/>
    </xf>
    <xf numFmtId="0" fontId="11" fillId="4" borderId="3" xfId="0" applyFont="1" applyFill="1" applyBorder="1" applyAlignment="1">
      <alignment horizontal="center" vertical="center" wrapText="1" readingOrder="1"/>
    </xf>
    <xf numFmtId="0" fontId="11" fillId="4" borderId="11" xfId="0" applyFont="1" applyFill="1" applyBorder="1" applyAlignment="1">
      <alignment horizontal="center" vertical="center" wrapText="1" readingOrder="1"/>
    </xf>
    <xf numFmtId="0" fontId="11" fillId="4" borderId="14" xfId="0" applyFont="1" applyFill="1" applyBorder="1" applyAlignment="1">
      <alignment horizontal="center" vertical="center" wrapText="1" readingOrder="1"/>
    </xf>
    <xf numFmtId="0" fontId="12" fillId="4" borderId="4" xfId="0" applyFont="1" applyFill="1" applyBorder="1" applyAlignment="1">
      <alignment horizontal="left" vertical="center" wrapText="1" readingOrder="1"/>
    </xf>
    <xf numFmtId="0" fontId="12" fillId="4" borderId="5" xfId="0" applyFont="1" applyFill="1" applyBorder="1" applyAlignment="1">
      <alignment horizontal="left" vertical="center" wrapText="1" readingOrder="1"/>
    </xf>
    <xf numFmtId="14" fontId="11" fillId="4" borderId="9" xfId="0" applyNumberFormat="1" applyFont="1" applyFill="1" applyBorder="1" applyAlignment="1">
      <alignment horizontal="center" vertical="center" wrapText="1" readingOrder="1"/>
    </xf>
    <xf numFmtId="14" fontId="11" fillId="4" borderId="10" xfId="0" applyNumberFormat="1" applyFont="1" applyFill="1" applyBorder="1" applyAlignment="1">
      <alignment horizontal="center" vertical="center" wrapText="1" readingOrder="1"/>
    </xf>
    <xf numFmtId="0" fontId="11" fillId="4" borderId="36" xfId="0" applyFont="1" applyFill="1" applyBorder="1" applyAlignment="1">
      <alignment horizontal="center" vertical="center" wrapText="1" readingOrder="1"/>
    </xf>
    <xf numFmtId="0" fontId="11" fillId="4" borderId="37" xfId="0" applyFont="1" applyFill="1" applyBorder="1" applyAlignment="1">
      <alignment horizontal="center" vertical="center" wrapText="1" readingOrder="1"/>
    </xf>
    <xf numFmtId="0" fontId="11" fillId="4" borderId="38" xfId="0" applyFont="1" applyFill="1" applyBorder="1" applyAlignment="1">
      <alignment horizontal="center" vertical="center" wrapText="1" readingOrder="1"/>
    </xf>
    <xf numFmtId="14" fontId="11" fillId="4" borderId="25" xfId="0" applyNumberFormat="1" applyFont="1" applyFill="1" applyBorder="1" applyAlignment="1">
      <alignment horizontal="center" vertical="center" wrapText="1" readingOrder="1"/>
    </xf>
    <xf numFmtId="0" fontId="15" fillId="2" borderId="19" xfId="0" applyFont="1" applyFill="1" applyBorder="1" applyAlignment="1">
      <alignment horizontal="center" vertical="center" textRotation="90" readingOrder="1"/>
    </xf>
    <xf numFmtId="0" fontId="15" fillId="2" borderId="18" xfId="0" applyFont="1" applyFill="1" applyBorder="1" applyAlignment="1">
      <alignment horizontal="center" vertical="center" textRotation="90" readingOrder="1"/>
    </xf>
    <xf numFmtId="0" fontId="9" fillId="4" borderId="1" xfId="0" applyFont="1" applyFill="1" applyBorder="1" applyAlignment="1">
      <alignment horizontal="left" vertical="center" wrapText="1" readingOrder="1"/>
    </xf>
    <xf numFmtId="0" fontId="9" fillId="4" borderId="2" xfId="0" applyFont="1" applyFill="1" applyBorder="1" applyAlignment="1">
      <alignment horizontal="left" vertical="center" wrapText="1" readingOrder="1"/>
    </xf>
    <xf numFmtId="0" fontId="17" fillId="2" borderId="17" xfId="0" applyFont="1" applyFill="1" applyBorder="1" applyAlignment="1">
      <alignment horizontal="center" vertical="center" wrapText="1" readingOrder="1"/>
    </xf>
    <xf numFmtId="0" fontId="17" fillId="2" borderId="19" xfId="0" applyFont="1" applyFill="1" applyBorder="1" applyAlignment="1">
      <alignment horizontal="center" vertical="center" wrapText="1" readingOrder="1"/>
    </xf>
    <xf numFmtId="0" fontId="17" fillId="2" borderId="18" xfId="0" applyFont="1" applyFill="1" applyBorder="1" applyAlignment="1">
      <alignment horizontal="center" vertical="center" wrapText="1" readingOrder="1"/>
    </xf>
    <xf numFmtId="0" fontId="15" fillId="2" borderId="3" xfId="0" applyFont="1" applyFill="1" applyBorder="1" applyAlignment="1">
      <alignment horizontal="center" vertical="center" textRotation="90" wrapText="1" readingOrder="1"/>
    </xf>
    <xf numFmtId="0" fontId="15" fillId="2" borderId="11" xfId="0" applyFont="1" applyFill="1" applyBorder="1" applyAlignment="1">
      <alignment horizontal="center" vertical="center" textRotation="90" wrapText="1" readingOrder="1"/>
    </xf>
    <xf numFmtId="0" fontId="15" fillId="2" borderId="14" xfId="0" applyFont="1" applyFill="1" applyBorder="1" applyAlignment="1">
      <alignment horizontal="center" vertical="center" textRotation="90" wrapText="1" readingOrder="1"/>
    </xf>
    <xf numFmtId="0" fontId="17" fillId="2" borderId="3" xfId="0" applyFont="1" applyFill="1" applyBorder="1" applyAlignment="1">
      <alignment horizontal="center" vertical="center" wrapText="1" readingOrder="1"/>
    </xf>
    <xf numFmtId="0" fontId="17" fillId="2" borderId="11" xfId="0" applyFont="1" applyFill="1" applyBorder="1" applyAlignment="1">
      <alignment horizontal="center" vertical="center" wrapText="1" readingOrder="1"/>
    </xf>
    <xf numFmtId="0" fontId="17" fillId="2" borderId="14" xfId="0" applyFont="1" applyFill="1" applyBorder="1" applyAlignment="1">
      <alignment horizontal="center" vertical="center" wrapText="1" readingOrder="1"/>
    </xf>
    <xf numFmtId="0" fontId="27" fillId="2" borderId="3" xfId="0" applyFont="1" applyFill="1" applyBorder="1" applyAlignment="1">
      <alignment horizontal="center" vertical="center" wrapText="1" readingOrder="1"/>
    </xf>
    <xf numFmtId="0" fontId="0" fillId="0" borderId="11" xfId="0" applyBorder="1" applyAlignment="1">
      <alignment horizontal="center" wrapText="1"/>
    </xf>
    <xf numFmtId="0" fontId="13" fillId="4" borderId="6" xfId="0" applyFont="1" applyFill="1" applyBorder="1" applyAlignment="1">
      <alignment horizontal="left" vertical="center" wrapText="1" readingOrder="1"/>
    </xf>
    <xf numFmtId="0" fontId="13" fillId="4" borderId="7" xfId="0" applyFont="1" applyFill="1" applyBorder="1" applyAlignment="1">
      <alignment horizontal="left" vertical="center" wrapText="1" readingOrder="1"/>
    </xf>
    <xf numFmtId="0" fontId="17" fillId="0" borderId="11" xfId="0" applyFont="1" applyBorder="1" applyAlignment="1">
      <alignment horizontal="center" vertical="center" wrapText="1" readingOrder="1"/>
    </xf>
    <xf numFmtId="0" fontId="17" fillId="0" borderId="14" xfId="0" applyFont="1" applyBorder="1" applyAlignment="1">
      <alignment horizontal="center" vertical="center" wrapText="1" readingOrder="1"/>
    </xf>
    <xf numFmtId="0" fontId="19" fillId="0" borderId="18" xfId="0" applyFont="1" applyBorder="1" applyAlignment="1">
      <alignment horizontal="center" vertical="center" wrapText="1" readingOrder="1"/>
    </xf>
    <xf numFmtId="0" fontId="11" fillId="4" borderId="0" xfId="5" applyFont="1" applyFill="1" applyAlignment="1">
      <alignment horizontal="center" wrapText="1"/>
    </xf>
  </cellXfs>
  <cellStyles count="9">
    <cellStyle name="Comma" xfId="1" builtinId="3"/>
    <cellStyle name="Comma 2" xfId="6" xr:uid="{DEF02301-5AA0-499D-8478-189EBEB85A98}"/>
    <cellStyle name="Currency" xfId="2" builtinId="4"/>
    <cellStyle name="Currency 2" xfId="7" xr:uid="{BCF9FF25-E98C-407C-885D-598BE6873838}"/>
    <cellStyle name="Hyperlink" xfId="4" builtinId="8"/>
    <cellStyle name="Normal" xfId="0" builtinId="0"/>
    <cellStyle name="Normal 2" xfId="5" xr:uid="{7E559461-870A-4F72-AB3A-A1ECDCF9D6EB}"/>
    <cellStyle name="Normal 3" xfId="8" xr:uid="{8B1253BC-0EC4-45DF-B896-F1D97EE94901}"/>
    <cellStyle name="Percent" xfId="3" builtinId="5"/>
  </cellStyles>
  <dxfs count="0"/>
  <tableStyles count="0" defaultTableStyle="TableStyleMedium2" defaultPivotStyle="PivotStyleLight16"/>
  <colors>
    <mruColors>
      <color rgb="FF007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8BCD8-9D89-4F2D-8F00-CFC54EDC065B}">
  <sheetPr>
    <tabColor rgb="FF0079FF"/>
  </sheetPr>
  <dimension ref="A1:A16"/>
  <sheetViews>
    <sheetView tabSelected="1" zoomScale="65" zoomScaleNormal="65" workbookViewId="0"/>
  </sheetViews>
  <sheetFormatPr defaultColWidth="9.1328125" defaultRowHeight="19.5" x14ac:dyDescent="0.6"/>
  <cols>
    <col min="1" max="1" width="65" style="2" bestFit="1" customWidth="1"/>
    <col min="2" max="16384" width="9.1328125" style="2"/>
  </cols>
  <sheetData>
    <row r="1" spans="1:1" x14ac:dyDescent="0.6">
      <c r="A1" s="1" t="s">
        <v>212</v>
      </c>
    </row>
    <row r="3" spans="1:1" x14ac:dyDescent="0.6">
      <c r="A3" s="3" t="s">
        <v>0</v>
      </c>
    </row>
    <row r="4" spans="1:1" x14ac:dyDescent="0.6">
      <c r="A4" s="4" t="s">
        <v>1</v>
      </c>
    </row>
    <row r="5" spans="1:1" x14ac:dyDescent="0.6">
      <c r="A5" s="4" t="s">
        <v>2</v>
      </c>
    </row>
    <row r="6" spans="1:1" x14ac:dyDescent="0.6">
      <c r="A6" s="4" t="s">
        <v>3</v>
      </c>
    </row>
    <row r="7" spans="1:1" x14ac:dyDescent="0.6">
      <c r="A7" s="4" t="s">
        <v>4</v>
      </c>
    </row>
    <row r="8" spans="1:1" x14ac:dyDescent="0.6">
      <c r="A8" s="4" t="s">
        <v>6</v>
      </c>
    </row>
    <row r="9" spans="1:1" x14ac:dyDescent="0.6">
      <c r="A9" s="4" t="s">
        <v>5</v>
      </c>
    </row>
    <row r="10" spans="1:1" x14ac:dyDescent="0.6">
      <c r="A10" s="4" t="s">
        <v>163</v>
      </c>
    </row>
    <row r="11" spans="1:1" x14ac:dyDescent="0.6">
      <c r="A11" s="4" t="s">
        <v>208</v>
      </c>
    </row>
    <row r="12" spans="1:1" x14ac:dyDescent="0.6">
      <c r="A12" s="4" t="s">
        <v>209</v>
      </c>
    </row>
    <row r="13" spans="1:1" x14ac:dyDescent="0.6">
      <c r="A13" s="4" t="s">
        <v>210</v>
      </c>
    </row>
    <row r="14" spans="1:1" x14ac:dyDescent="0.6">
      <c r="A14" s="4" t="s">
        <v>211</v>
      </c>
    </row>
    <row r="15" spans="1:1" x14ac:dyDescent="0.6">
      <c r="A15" s="4" t="s">
        <v>7</v>
      </c>
    </row>
    <row r="16" spans="1:1" x14ac:dyDescent="0.6">
      <c r="A16" s="4" t="s">
        <v>8</v>
      </c>
    </row>
  </sheetData>
  <hyperlinks>
    <hyperlink ref="A4" location="'Summary Metrics'!A1" display="Summary Metrics" xr:uid="{CE450920-6778-4DF1-9818-2F7979745412}"/>
    <hyperlink ref="A5" location="'Revenue Metrics'!A1" display="Revenue Metrics" xr:uid="{5F801941-2B64-4FDB-851E-3BA169571876}"/>
    <hyperlink ref="A6" location="'Constant Currency'!A1" display="Constant Currency" xr:uid="{9164C2CE-5FE5-44A4-BB8B-28BFB120F66B}"/>
    <hyperlink ref="A7" location="'Cloud Metrics'!A1" display="Cloud Metrics" xr:uid="{E4ED6A8F-2D7D-4B79-829B-81969C1ADDEE}"/>
    <hyperlink ref="A9" location="'Operating Expenses'!A1" display="Operating Expenses" xr:uid="{ECEF8617-7CE2-4BFA-A4B0-50A57F68BDB8}"/>
    <hyperlink ref="A8" location="'Gross Profit'!A1" display="Gross Profit " xr:uid="{DE25465B-5B64-43C6-A922-517CA45CE514}"/>
    <hyperlink ref="A10" location="'Operating Margins'!A1" display="Operating Margins" xr:uid="{15B94B2A-87FD-4146-8293-EF6C3FE702A6}"/>
    <hyperlink ref="A15" location="Footnotes!A1" display="Footnotes" xr:uid="{91A62A3C-2E80-4853-A7ED-E09874579F4D}"/>
    <hyperlink ref="A16" location="' Suppl. Info NG Measures'!A1" display="Supplemental Information About Non-GAAP Financial Measures" xr:uid="{F6CF870C-188A-4A46-A7B4-1F02165FC779}"/>
    <hyperlink ref="A11" location="'EBITDA Margins'!A1" display="EBITDA Margins" xr:uid="{9033E703-F5D3-4FB2-BDE5-0F474509C65A}"/>
    <hyperlink ref="A12" location="'Other Expense, Tax &amp; NI'!A1" display="Other Expense, Tax &amp; NI" xr:uid="{33AC64A3-837C-4E41-8A89-E5E94466B92F}"/>
    <hyperlink ref="A13" location="'EPS &amp; DSO'!A1" display="EPS &amp; DSO" xr:uid="{91CB319B-CB76-4DA0-B3CD-5A6CBF8BE1E4}"/>
    <hyperlink ref="A14" location="Debt!A1" display="Debt" xr:uid="{3F4CDBE9-1830-48C6-A186-E4995DE7629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79C4-0256-4B1E-AD82-D8E42A9930FD}">
  <sheetPr>
    <tabColor rgb="FF0079FF"/>
    <pageSetUpPr fitToPage="1"/>
  </sheetPr>
  <dimension ref="A1:T173"/>
  <sheetViews>
    <sheetView zoomScale="65" zoomScaleNormal="6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92.3984375" style="67" customWidth="1"/>
    <col min="2" max="5" width="20.73046875" style="44" hidden="1" customWidth="1" outlineLevel="1"/>
    <col min="6" max="6" width="1.3984375" style="44" hidden="1" customWidth="1" outlineLevel="1"/>
    <col min="7" max="7" width="20.73046875" style="44" customWidth="1" collapsed="1"/>
    <col min="8" max="8" width="1.86328125" style="44" customWidth="1"/>
    <col min="9" max="12" width="20.73046875" style="67" hidden="1" customWidth="1" outlineLevel="1"/>
    <col min="13" max="13" width="1.86328125" style="44" hidden="1" customWidth="1" outlineLevel="1"/>
    <col min="14" max="14" width="20.73046875" style="67" customWidth="1" collapsed="1"/>
    <col min="15" max="15" width="1.86328125" style="44" customWidth="1"/>
    <col min="16" max="18" width="20.73046875" style="67" customWidth="1"/>
    <col min="19" max="19" width="1.86328125" style="44" customWidth="1"/>
    <col min="20" max="20" width="20.73046875" style="67" customWidth="1"/>
    <col min="21" max="16384" width="9.1328125" style="44"/>
  </cols>
  <sheetData>
    <row r="1" spans="1:20" s="102" customFormat="1" ht="17.649999999999999" x14ac:dyDescent="0.5">
      <c r="A1" s="101" t="s">
        <v>191</v>
      </c>
      <c r="F1" s="44"/>
      <c r="H1" s="44"/>
      <c r="M1" s="44"/>
      <c r="O1" s="44"/>
      <c r="S1" s="44"/>
    </row>
    <row r="2" spans="1:20" ht="14.25" customHeight="1" x14ac:dyDescent="0.3">
      <c r="A2" s="45"/>
      <c r="I2" s="44"/>
      <c r="J2" s="44"/>
      <c r="K2" s="44"/>
      <c r="L2" s="44"/>
      <c r="N2" s="44"/>
      <c r="P2" s="44"/>
      <c r="Q2" s="44"/>
      <c r="R2" s="44"/>
      <c r="T2" s="44"/>
    </row>
    <row r="3" spans="1:20" s="7" customFormat="1" ht="30" customHeight="1" x14ac:dyDescent="0.4">
      <c r="A3" s="46"/>
      <c r="B3" s="319" t="s">
        <v>10</v>
      </c>
      <c r="C3" s="319"/>
      <c r="D3" s="319"/>
      <c r="E3" s="319"/>
      <c r="F3" s="147"/>
      <c r="G3" s="47" t="s">
        <v>247</v>
      </c>
      <c r="H3" s="147"/>
      <c r="I3" s="319" t="s">
        <v>10</v>
      </c>
      <c r="J3" s="319"/>
      <c r="K3" s="319"/>
      <c r="L3" s="319"/>
      <c r="M3" s="147"/>
      <c r="N3" s="47" t="s">
        <v>247</v>
      </c>
      <c r="O3" s="147"/>
      <c r="P3" s="319" t="s">
        <v>10</v>
      </c>
      <c r="Q3" s="319"/>
      <c r="R3" s="319"/>
      <c r="S3" s="147"/>
      <c r="T3" s="47" t="s">
        <v>289</v>
      </c>
    </row>
    <row r="4" spans="1:20" s="7" customFormat="1" ht="30" customHeight="1" x14ac:dyDescent="0.4">
      <c r="A4" s="48" t="s">
        <v>13</v>
      </c>
      <c r="B4" s="49" t="s">
        <v>43</v>
      </c>
      <c r="C4" s="49" t="s">
        <v>229</v>
      </c>
      <c r="D4" s="49" t="s">
        <v>241</v>
      </c>
      <c r="E4" s="49" t="s">
        <v>44</v>
      </c>
      <c r="F4" s="148"/>
      <c r="G4" s="49" t="s">
        <v>44</v>
      </c>
      <c r="H4" s="148"/>
      <c r="I4" s="49" t="s">
        <v>103</v>
      </c>
      <c r="J4" s="49" t="s">
        <v>230</v>
      </c>
      <c r="K4" s="49" t="s">
        <v>242</v>
      </c>
      <c r="L4" s="49" t="s">
        <v>246</v>
      </c>
      <c r="M4" s="148"/>
      <c r="N4" s="49" t="s">
        <v>246</v>
      </c>
      <c r="O4" s="148"/>
      <c r="P4" s="49" t="s">
        <v>267</v>
      </c>
      <c r="Q4" s="49" t="s">
        <v>277</v>
      </c>
      <c r="R4" s="49" t="s">
        <v>288</v>
      </c>
      <c r="S4" s="148"/>
      <c r="T4" s="49" t="s">
        <v>288</v>
      </c>
    </row>
    <row r="5" spans="1:20" s="58" customFormat="1" ht="16.899999999999999" x14ac:dyDescent="0.5">
      <c r="A5" s="77"/>
    </row>
    <row r="6" spans="1:20" s="58" customFormat="1" ht="16.899999999999999" x14ac:dyDescent="0.5">
      <c r="A6" s="77" t="s">
        <v>111</v>
      </c>
    </row>
    <row r="7" spans="1:20" s="53" customFormat="1" ht="16.899999999999999" x14ac:dyDescent="0.5">
      <c r="A7" s="51" t="s">
        <v>270</v>
      </c>
      <c r="B7" s="62">
        <v>-12.03</v>
      </c>
      <c r="C7" s="62">
        <v>-22.597999999999999</v>
      </c>
      <c r="D7" s="62">
        <v>-21.074000000000002</v>
      </c>
      <c r="E7" s="62">
        <v>-43.384</v>
      </c>
      <c r="F7" s="137"/>
      <c r="G7" s="62">
        <f t="shared" ref="G7:G13" si="0">+B7+C7+D7+E7</f>
        <v>-99.085999999999999</v>
      </c>
      <c r="H7" s="137"/>
      <c r="I7" s="62">
        <v>-3.42</v>
      </c>
      <c r="J7" s="62">
        <v>-2.02</v>
      </c>
      <c r="K7" s="62">
        <v>-1.8180000000000001</v>
      </c>
      <c r="L7" s="62">
        <v>-8.1000000000000003E-2</v>
      </c>
      <c r="M7" s="137"/>
      <c r="N7" s="62">
        <f t="shared" ref="N7:N14" si="1">+I7+J7+K7+L7</f>
        <v>-7.3389999999999995</v>
      </c>
      <c r="O7" s="137"/>
      <c r="P7" s="62">
        <v>0.372</v>
      </c>
      <c r="Q7" s="62">
        <v>-0.89800000000000002</v>
      </c>
      <c r="R7" s="62">
        <v>-5.7000000000000002E-2</v>
      </c>
      <c r="S7" s="137"/>
      <c r="T7" s="62">
        <f>SUM(P7:S7)</f>
        <v>-0.58300000000000007</v>
      </c>
    </row>
    <row r="8" spans="1:20" s="58" customFormat="1" ht="16.5" x14ac:dyDescent="0.45">
      <c r="A8" s="55" t="s">
        <v>189</v>
      </c>
      <c r="B8" s="59">
        <v>0</v>
      </c>
      <c r="C8" s="59">
        <v>-0.17299999999999999</v>
      </c>
      <c r="D8" s="59">
        <v>0.93100000000000005</v>
      </c>
      <c r="E8" s="59">
        <v>0.35699999999999998</v>
      </c>
      <c r="F8" s="146"/>
      <c r="G8" s="59">
        <f t="shared" si="0"/>
        <v>1.115</v>
      </c>
      <c r="H8" s="146"/>
      <c r="I8" s="59">
        <v>14.305</v>
      </c>
      <c r="J8" s="59">
        <v>0</v>
      </c>
      <c r="K8" s="59">
        <v>0</v>
      </c>
      <c r="L8" s="59">
        <v>0</v>
      </c>
      <c r="M8" s="146"/>
      <c r="N8" s="59">
        <f t="shared" si="1"/>
        <v>14.305</v>
      </c>
      <c r="O8" s="146"/>
      <c r="P8" s="59">
        <v>0</v>
      </c>
      <c r="Q8" s="59">
        <v>0</v>
      </c>
      <c r="R8" s="59">
        <v>0</v>
      </c>
      <c r="S8" s="146"/>
      <c r="T8" s="59">
        <f t="shared" ref="T8:T14" si="2">SUM(P8:S8)</f>
        <v>0</v>
      </c>
    </row>
    <row r="9" spans="1:20" s="58" customFormat="1" ht="16.5" x14ac:dyDescent="0.45">
      <c r="A9" s="55" t="s">
        <v>112</v>
      </c>
      <c r="B9" s="104">
        <v>3.226</v>
      </c>
      <c r="C9" s="104">
        <v>3.1739999999999999</v>
      </c>
      <c r="D9" s="104">
        <v>3.22</v>
      </c>
      <c r="E9" s="104">
        <v>3.2629999999999999</v>
      </c>
      <c r="F9" s="91"/>
      <c r="G9" s="104">
        <f t="shared" si="0"/>
        <v>12.883000000000001</v>
      </c>
      <c r="H9" s="91"/>
      <c r="I9" s="104">
        <v>0</v>
      </c>
      <c r="J9" s="104">
        <v>0</v>
      </c>
      <c r="K9" s="104">
        <v>0</v>
      </c>
      <c r="L9" s="104">
        <v>0</v>
      </c>
      <c r="M9" s="91"/>
      <c r="N9" s="104">
        <f t="shared" si="1"/>
        <v>0</v>
      </c>
      <c r="O9" s="91"/>
      <c r="P9" s="104">
        <v>0</v>
      </c>
      <c r="Q9" s="104">
        <v>0</v>
      </c>
      <c r="R9" s="104">
        <v>0</v>
      </c>
      <c r="S9" s="91"/>
      <c r="T9" s="104">
        <f t="shared" si="2"/>
        <v>0</v>
      </c>
    </row>
    <row r="10" spans="1:20" s="58" customFormat="1" ht="16.5" x14ac:dyDescent="0.45">
      <c r="A10" s="55" t="s">
        <v>231</v>
      </c>
      <c r="B10" s="59">
        <v>0</v>
      </c>
      <c r="C10" s="59">
        <v>1.462</v>
      </c>
      <c r="D10" s="59">
        <v>0</v>
      </c>
      <c r="E10" s="59">
        <v>0</v>
      </c>
      <c r="F10" s="146"/>
      <c r="G10" s="59">
        <f t="shared" si="0"/>
        <v>1.462</v>
      </c>
      <c r="H10" s="146"/>
      <c r="I10" s="59">
        <v>2.4740000000000002</v>
      </c>
      <c r="J10" s="59">
        <v>0</v>
      </c>
      <c r="K10" s="59">
        <v>0</v>
      </c>
      <c r="L10" s="59">
        <v>0</v>
      </c>
      <c r="M10" s="146"/>
      <c r="N10" s="59">
        <f t="shared" si="1"/>
        <v>2.4740000000000002</v>
      </c>
      <c r="O10" s="146"/>
      <c r="P10" s="59">
        <v>0</v>
      </c>
      <c r="Q10" s="59">
        <v>0</v>
      </c>
      <c r="R10" s="59">
        <v>0</v>
      </c>
      <c r="S10" s="146"/>
      <c r="T10" s="59">
        <f t="shared" si="2"/>
        <v>0</v>
      </c>
    </row>
    <row r="11" spans="1:20" s="58" customFormat="1" ht="16.5" x14ac:dyDescent="0.45">
      <c r="A11" s="55" t="s">
        <v>190</v>
      </c>
      <c r="B11" s="135">
        <v>0</v>
      </c>
      <c r="C11" s="135">
        <v>13.61</v>
      </c>
      <c r="D11" s="135">
        <v>9.2240000000000002</v>
      </c>
      <c r="E11" s="135">
        <v>33.311999999999998</v>
      </c>
      <c r="F11" s="146"/>
      <c r="G11" s="135">
        <f t="shared" si="0"/>
        <v>56.146000000000001</v>
      </c>
      <c r="H11" s="146"/>
      <c r="I11" s="135">
        <v>-15.81</v>
      </c>
      <c r="J11" s="135">
        <v>0</v>
      </c>
      <c r="K11" s="135">
        <v>0</v>
      </c>
      <c r="L11" s="135">
        <v>0</v>
      </c>
      <c r="M11" s="146"/>
      <c r="N11" s="135">
        <f t="shared" si="1"/>
        <v>-15.81</v>
      </c>
      <c r="O11" s="146"/>
      <c r="P11" s="135">
        <v>0</v>
      </c>
      <c r="Q11" s="135">
        <v>0</v>
      </c>
      <c r="R11" s="135">
        <v>0</v>
      </c>
      <c r="S11" s="146"/>
      <c r="T11" s="135">
        <f t="shared" si="2"/>
        <v>0</v>
      </c>
    </row>
    <row r="12" spans="1:20" s="58" customFormat="1" ht="16.5" x14ac:dyDescent="0.45">
      <c r="A12" s="55" t="s">
        <v>227</v>
      </c>
      <c r="B12" s="104">
        <v>1.2E-2</v>
      </c>
      <c r="C12" s="104">
        <v>5.3999999999999999E-2</v>
      </c>
      <c r="D12" s="104">
        <v>6.2E-2</v>
      </c>
      <c r="E12" s="104">
        <v>1.4E-2</v>
      </c>
      <c r="F12" s="91"/>
      <c r="G12" s="104">
        <f t="shared" si="0"/>
        <v>0.14200000000000002</v>
      </c>
      <c r="H12" s="91"/>
      <c r="I12" s="91">
        <v>-3.2</v>
      </c>
      <c r="J12" s="91">
        <v>-0.14799999999999999</v>
      </c>
      <c r="K12" s="91">
        <v>-0.122</v>
      </c>
      <c r="L12" s="91">
        <v>5.0000000000000001E-3</v>
      </c>
      <c r="M12" s="91"/>
      <c r="N12" s="104">
        <f t="shared" si="1"/>
        <v>-3.4650000000000003</v>
      </c>
      <c r="O12" s="91"/>
      <c r="P12" s="91">
        <v>0</v>
      </c>
      <c r="Q12" s="91">
        <v>0</v>
      </c>
      <c r="R12" s="91">
        <v>0</v>
      </c>
      <c r="S12" s="91"/>
      <c r="T12" s="91">
        <f t="shared" si="2"/>
        <v>0</v>
      </c>
    </row>
    <row r="13" spans="1:20" s="58" customFormat="1" ht="16.5" x14ac:dyDescent="0.45">
      <c r="A13" s="55" t="s">
        <v>91</v>
      </c>
      <c r="B13" s="105">
        <v>0</v>
      </c>
      <c r="C13" s="105">
        <v>0</v>
      </c>
      <c r="D13" s="105">
        <v>0</v>
      </c>
      <c r="E13" s="105">
        <v>0</v>
      </c>
      <c r="F13" s="91"/>
      <c r="G13" s="105">
        <f t="shared" si="0"/>
        <v>0</v>
      </c>
      <c r="H13" s="91"/>
      <c r="I13" s="106">
        <v>0</v>
      </c>
      <c r="J13" s="106">
        <v>0</v>
      </c>
      <c r="K13" s="106">
        <v>0</v>
      </c>
      <c r="L13" s="106">
        <v>-1.1679999999999999</v>
      </c>
      <c r="M13" s="91"/>
      <c r="N13" s="105">
        <f t="shared" si="1"/>
        <v>-1.1679999999999999</v>
      </c>
      <c r="O13" s="91"/>
      <c r="P13" s="106">
        <v>0</v>
      </c>
      <c r="Q13" s="106">
        <v>0</v>
      </c>
      <c r="R13" s="106">
        <v>0</v>
      </c>
      <c r="S13" s="91"/>
      <c r="T13" s="106">
        <f t="shared" si="2"/>
        <v>0</v>
      </c>
    </row>
    <row r="14" spans="1:20" s="58" customFormat="1" ht="16.899999999999999" x14ac:dyDescent="0.5">
      <c r="A14" s="51" t="s">
        <v>271</v>
      </c>
      <c r="B14" s="62">
        <f>SUM(B7:B13)</f>
        <v>-8.791999999999998</v>
      </c>
      <c r="C14" s="62">
        <f>SUM(C7:C13)</f>
        <v>-4.4709999999999983</v>
      </c>
      <c r="D14" s="62">
        <f>SUM(D7:D13)</f>
        <v>-7.6370000000000013</v>
      </c>
      <c r="E14" s="62">
        <f>SUM(E7:E13)</f>
        <v>-6.4380000000000051</v>
      </c>
      <c r="F14" s="137"/>
      <c r="G14" s="62">
        <f>SUM(G7:G13)</f>
        <v>-27.338000000000005</v>
      </c>
      <c r="H14" s="137"/>
      <c r="I14" s="62">
        <f>SUM(I7:I13)</f>
        <v>-5.6510000000000007</v>
      </c>
      <c r="J14" s="62">
        <f>SUM(J7:J13)</f>
        <v>-2.1680000000000001</v>
      </c>
      <c r="K14" s="62">
        <f>SUM(K7:K13)</f>
        <v>-1.94</v>
      </c>
      <c r="L14" s="62">
        <f>SUM(L7:L13)</f>
        <v>-1.244</v>
      </c>
      <c r="M14" s="137"/>
      <c r="N14" s="62">
        <f t="shared" si="1"/>
        <v>-11.003</v>
      </c>
      <c r="O14" s="137"/>
      <c r="P14" s="62">
        <f>SUM(P7:P13)</f>
        <v>0.372</v>
      </c>
      <c r="Q14" s="62">
        <f>SUM(Q7:Q13)</f>
        <v>-0.89800000000000002</v>
      </c>
      <c r="R14" s="62">
        <f>SUM(R7:R13)</f>
        <v>-5.7000000000000002E-2</v>
      </c>
      <c r="S14" s="137"/>
      <c r="T14" s="62">
        <f t="shared" si="2"/>
        <v>-0.58300000000000007</v>
      </c>
    </row>
    <row r="15" spans="1:20" s="58" customFormat="1" ht="16.899999999999999" x14ac:dyDescent="0.5">
      <c r="A15" s="51"/>
      <c r="B15" s="62"/>
      <c r="C15" s="62"/>
      <c r="D15" s="62"/>
      <c r="E15" s="62"/>
      <c r="F15" s="137"/>
      <c r="G15" s="62"/>
      <c r="H15" s="137"/>
      <c r="I15" s="62"/>
      <c r="J15" s="62"/>
      <c r="K15" s="62"/>
      <c r="L15" s="62"/>
      <c r="M15" s="137"/>
      <c r="N15" s="62"/>
      <c r="O15" s="137"/>
      <c r="P15" s="62"/>
      <c r="Q15" s="62"/>
      <c r="R15" s="62"/>
      <c r="S15" s="137"/>
      <c r="T15" s="62"/>
    </row>
    <row r="16" spans="1:20" s="58" customFormat="1" ht="16.899999999999999" x14ac:dyDescent="0.5">
      <c r="A16" s="77" t="s">
        <v>114</v>
      </c>
    </row>
    <row r="17" spans="1:20" s="53" customFormat="1" ht="16.899999999999999" x14ac:dyDescent="0.5">
      <c r="A17" s="51" t="s">
        <v>218</v>
      </c>
      <c r="B17" s="62">
        <v>0.34699999999999998</v>
      </c>
      <c r="C17" s="62">
        <v>8.3450000000000006</v>
      </c>
      <c r="D17" s="62">
        <v>1.0840000000000001</v>
      </c>
      <c r="E17" s="62">
        <v>-2.839</v>
      </c>
      <c r="F17" s="137"/>
      <c r="G17" s="62">
        <f>+B17+C17+D17+E17</f>
        <v>6.9369999999999994</v>
      </c>
      <c r="H17" s="137"/>
      <c r="I17" s="62">
        <v>-7.1999999999999995E-2</v>
      </c>
      <c r="J17" s="62">
        <v>4.2009999999999996</v>
      </c>
      <c r="K17" s="62">
        <v>9.3490000000000002</v>
      </c>
      <c r="L17" s="62">
        <v>10.375</v>
      </c>
      <c r="M17" s="137"/>
      <c r="N17" s="62">
        <f>+I17+J17+K17+L17</f>
        <v>23.853000000000002</v>
      </c>
      <c r="O17" s="137"/>
      <c r="P17" s="62">
        <v>0.29599999999999999</v>
      </c>
      <c r="Q17" s="62">
        <v>2.8479999999999999</v>
      </c>
      <c r="R17" s="62">
        <v>17.395</v>
      </c>
      <c r="S17" s="137"/>
      <c r="T17" s="62">
        <f>SUM(P17:S17)</f>
        <v>20.538999999999998</v>
      </c>
    </row>
    <row r="18" spans="1:20" s="53" customFormat="1" ht="16.899999999999999" x14ac:dyDescent="0.5">
      <c r="A18" s="51" t="s">
        <v>115</v>
      </c>
      <c r="B18" s="87">
        <v>-2.5000000000000001E-2</v>
      </c>
      <c r="C18" s="87">
        <v>-8.141</v>
      </c>
      <c r="D18" s="87">
        <v>-1.0660000000000001</v>
      </c>
      <c r="E18" s="87">
        <v>0.111</v>
      </c>
      <c r="F18" s="164"/>
      <c r="G18" s="87">
        <v>-0.16600000000000001</v>
      </c>
      <c r="H18" s="164"/>
      <c r="I18" s="87">
        <v>-7.0999999999999994E-2</v>
      </c>
      <c r="J18" s="87">
        <v>0.441</v>
      </c>
      <c r="K18" s="87">
        <v>0.40899999999999997</v>
      </c>
      <c r="L18" s="87">
        <v>1.6970000000000001</v>
      </c>
      <c r="M18" s="164"/>
      <c r="N18" s="87">
        <v>0.60399999999999998</v>
      </c>
      <c r="O18" s="164"/>
      <c r="P18" s="87">
        <v>3.1E-2</v>
      </c>
      <c r="Q18" s="87">
        <v>4.6539999999999999</v>
      </c>
      <c r="R18" s="87">
        <v>0.80500000000000005</v>
      </c>
      <c r="S18" s="164"/>
      <c r="T18" s="87">
        <v>0.88900000000000001</v>
      </c>
    </row>
    <row r="19" spans="1:20" s="58" customFormat="1" ht="16.5" x14ac:dyDescent="0.45">
      <c r="A19" s="55" t="s">
        <v>116</v>
      </c>
      <c r="B19" s="105">
        <v>2.0369999999999999</v>
      </c>
      <c r="C19" s="105">
        <v>-3.4220000000000002</v>
      </c>
      <c r="D19" s="105">
        <v>3.5579999999999998</v>
      </c>
      <c r="E19" s="105">
        <v>7.0519999999999996</v>
      </c>
      <c r="F19" s="91"/>
      <c r="G19" s="105">
        <f>+B19+C19+D19+E19</f>
        <v>9.2249999999999996</v>
      </c>
      <c r="H19" s="91"/>
      <c r="I19" s="106">
        <v>3.74</v>
      </c>
      <c r="J19" s="106">
        <v>0.88700000000000001</v>
      </c>
      <c r="K19" s="106">
        <v>-2.5590000000000002</v>
      </c>
      <c r="L19" s="106">
        <v>-4.3550000000000004</v>
      </c>
      <c r="M19" s="91"/>
      <c r="N19" s="106">
        <f>+I19+J19+K19+L19</f>
        <v>-2.2869999999999999</v>
      </c>
      <c r="O19" s="91"/>
      <c r="P19" s="106">
        <v>4.2220000000000004</v>
      </c>
      <c r="Q19" s="106">
        <v>1.87</v>
      </c>
      <c r="R19" s="106">
        <v>-11.295999999999999</v>
      </c>
      <c r="S19" s="91"/>
      <c r="T19" s="106">
        <f>SUM(P19:S19)</f>
        <v>-5.2039999999999988</v>
      </c>
    </row>
    <row r="20" spans="1:20" s="58" customFormat="1" ht="16.899999999999999" x14ac:dyDescent="0.5">
      <c r="A20" s="51" t="s">
        <v>117</v>
      </c>
      <c r="B20" s="62">
        <f>+B17+B19</f>
        <v>2.3839999999999999</v>
      </c>
      <c r="C20" s="62">
        <f>+C17+C19</f>
        <v>4.923</v>
      </c>
      <c r="D20" s="62">
        <f>+D17+D19</f>
        <v>4.6419999999999995</v>
      </c>
      <c r="E20" s="62">
        <f>+E17+E19</f>
        <v>4.2129999999999992</v>
      </c>
      <c r="F20" s="137"/>
      <c r="G20" s="62">
        <f>+G17+G19</f>
        <v>16.161999999999999</v>
      </c>
      <c r="H20" s="137"/>
      <c r="I20" s="62">
        <f>+I17+I19</f>
        <v>3.6680000000000001</v>
      </c>
      <c r="J20" s="62">
        <f>+J17+J19</f>
        <v>5.0879999999999992</v>
      </c>
      <c r="K20" s="62">
        <f>+K17+K19</f>
        <v>6.79</v>
      </c>
      <c r="L20" s="62">
        <f>+L17+L19</f>
        <v>6.02</v>
      </c>
      <c r="M20" s="137"/>
      <c r="N20" s="62">
        <f>+I20+J20+K20+L20</f>
        <v>21.565999999999999</v>
      </c>
      <c r="O20" s="137"/>
      <c r="P20" s="62">
        <f>+P17+P19</f>
        <v>4.5180000000000007</v>
      </c>
      <c r="Q20" s="62">
        <f>+Q17+Q19</f>
        <v>4.718</v>
      </c>
      <c r="R20" s="62">
        <f>+R17+R19</f>
        <v>6.0990000000000002</v>
      </c>
      <c r="S20" s="137"/>
      <c r="T20" s="62">
        <f>SUM(P20:S20)</f>
        <v>15.335000000000001</v>
      </c>
    </row>
    <row r="21" spans="1:20" s="53" customFormat="1" ht="16.899999999999999" x14ac:dyDescent="0.5">
      <c r="A21" s="51" t="s">
        <v>118</v>
      </c>
      <c r="B21" s="87">
        <v>8.3000000000000004E-2</v>
      </c>
      <c r="C21" s="87">
        <v>8.3000000000000004E-2</v>
      </c>
      <c r="D21" s="87">
        <v>8.3000000000000004E-2</v>
      </c>
      <c r="E21" s="87">
        <v>8.3000000000000004E-2</v>
      </c>
      <c r="F21" s="164"/>
      <c r="G21" s="87">
        <v>8.3000000000000004E-2</v>
      </c>
      <c r="H21" s="164"/>
      <c r="I21" s="87">
        <v>9.9000000000000005E-2</v>
      </c>
      <c r="J21" s="87">
        <v>0.10299999999999999</v>
      </c>
      <c r="K21" s="87">
        <v>0.114</v>
      </c>
      <c r="L21" s="87">
        <v>0.12</v>
      </c>
      <c r="M21" s="164"/>
      <c r="N21" s="87">
        <v>0.11</v>
      </c>
      <c r="O21" s="164"/>
      <c r="P21" s="87">
        <v>0.10199999999999999</v>
      </c>
      <c r="Q21" s="87">
        <v>0.10100000000000001</v>
      </c>
      <c r="R21" s="87">
        <v>0.104</v>
      </c>
      <c r="S21" s="164"/>
      <c r="T21" s="87">
        <v>0.10299999999999999</v>
      </c>
    </row>
    <row r="22" spans="1:20" s="58" customFormat="1" ht="16.5" x14ac:dyDescent="0.45"/>
    <row r="23" spans="1:20" s="58" customFormat="1" ht="33.75" x14ac:dyDescent="0.5">
      <c r="A23" s="107" t="s">
        <v>214</v>
      </c>
    </row>
    <row r="24" spans="1:20" s="53" customFormat="1" ht="33.75" x14ac:dyDescent="0.5">
      <c r="A24" s="88" t="s">
        <v>250</v>
      </c>
      <c r="B24" s="62">
        <v>-14.657999999999999</v>
      </c>
      <c r="C24" s="62">
        <v>-12.180999999999999</v>
      </c>
      <c r="D24" s="62">
        <v>-5.0679999999999996</v>
      </c>
      <c r="E24" s="62">
        <v>-25.402999999999999</v>
      </c>
      <c r="F24" s="137"/>
      <c r="G24" s="62">
        <f>+B24+C24+D24+E24</f>
        <v>-57.309999999999995</v>
      </c>
      <c r="H24" s="137"/>
      <c r="I24" s="62">
        <v>-2.5230000000000001</v>
      </c>
      <c r="J24" s="62">
        <v>-0.2</v>
      </c>
      <c r="K24" s="62">
        <v>8.0370000000000008</v>
      </c>
      <c r="L24" s="62">
        <v>-9.8230000000000004</v>
      </c>
      <c r="M24" s="137"/>
      <c r="N24" s="62">
        <f>+I24+J24+K24+L24</f>
        <v>-4.5090000000000003</v>
      </c>
      <c r="O24" s="137"/>
      <c r="P24" s="62">
        <v>-4.9139999999999997</v>
      </c>
      <c r="Q24" s="62">
        <v>-7.6120000000000001</v>
      </c>
      <c r="R24" s="62">
        <v>-1.1240000000000001</v>
      </c>
      <c r="S24" s="137"/>
      <c r="T24" s="62">
        <v>-13.65</v>
      </c>
    </row>
    <row r="25" spans="1:20" s="58" customFormat="1" ht="16.5" x14ac:dyDescent="0.45">
      <c r="A25" s="55" t="s">
        <v>251</v>
      </c>
      <c r="B25" s="105">
        <v>40.694000000000003</v>
      </c>
      <c r="C25" s="105">
        <v>66.064999999999998</v>
      </c>
      <c r="D25" s="105">
        <v>55.872999999999998</v>
      </c>
      <c r="E25" s="105">
        <v>71.63</v>
      </c>
      <c r="F25" s="91"/>
      <c r="G25" s="105">
        <f>+B25+C25+D25+E25</f>
        <v>234.262</v>
      </c>
      <c r="H25" s="91"/>
      <c r="I25" s="106">
        <v>35.557000000000002</v>
      </c>
      <c r="J25" s="106">
        <v>44.417999999999999</v>
      </c>
      <c r="K25" s="106">
        <v>44.429000000000002</v>
      </c>
      <c r="L25" s="106">
        <v>53.517000000000003</v>
      </c>
      <c r="M25" s="91"/>
      <c r="N25" s="106">
        <v>177.92099999999999</v>
      </c>
      <c r="O25" s="91"/>
      <c r="P25" s="106">
        <v>39.119</v>
      </c>
      <c r="Q25" s="106">
        <v>49.494</v>
      </c>
      <c r="R25" s="106">
        <v>53.412999999999997</v>
      </c>
      <c r="S25" s="91"/>
      <c r="T25" s="106">
        <v>147.226</v>
      </c>
    </row>
    <row r="26" spans="1:20" s="58" customFormat="1" ht="33.75" x14ac:dyDescent="0.5">
      <c r="A26" s="88" t="s">
        <v>216</v>
      </c>
      <c r="B26" s="62">
        <f>SUM(B24:B25)</f>
        <v>26.036000000000001</v>
      </c>
      <c r="C26" s="62">
        <f>SUM(C24:C25)</f>
        <v>53.884</v>
      </c>
      <c r="D26" s="62">
        <f>SUM(D24:D25)</f>
        <v>50.805</v>
      </c>
      <c r="E26" s="62">
        <f>SUM(E24:E25)</f>
        <v>46.226999999999997</v>
      </c>
      <c r="F26" s="137"/>
      <c r="G26" s="62">
        <f>+B26+C26+D26+E26</f>
        <v>176.952</v>
      </c>
      <c r="H26" s="137"/>
      <c r="I26" s="62">
        <f>SUM(I24:I25)</f>
        <v>33.033999999999999</v>
      </c>
      <c r="J26" s="62">
        <f>SUM(J24:J25)</f>
        <v>44.217999999999996</v>
      </c>
      <c r="K26" s="62">
        <f>SUM(K24:K25)</f>
        <v>52.466000000000001</v>
      </c>
      <c r="L26" s="62">
        <f>SUM(L24:L25)</f>
        <v>43.694000000000003</v>
      </c>
      <c r="M26" s="137"/>
      <c r="N26" s="62">
        <f>SUM(N24:N25)</f>
        <v>173.41199999999998</v>
      </c>
      <c r="O26" s="137"/>
      <c r="P26" s="62">
        <f>SUM(P24:P25)</f>
        <v>34.204999999999998</v>
      </c>
      <c r="Q26" s="62">
        <f>SUM(Q24:Q25)</f>
        <v>41.881999999999998</v>
      </c>
      <c r="R26" s="62">
        <f>SUM(R24:R25)</f>
        <v>52.288999999999994</v>
      </c>
      <c r="S26" s="137"/>
      <c r="T26" s="62">
        <f>SUM(T24:T25)</f>
        <v>133.57599999999999</v>
      </c>
    </row>
    <row r="27" spans="1:20" s="58" customFormat="1" ht="16.899999999999999" x14ac:dyDescent="0.5">
      <c r="A27" s="51"/>
    </row>
    <row r="28" spans="1:20" x14ac:dyDescent="0.3">
      <c r="A28" s="45"/>
      <c r="I28" s="44"/>
      <c r="J28" s="44"/>
      <c r="K28" s="44"/>
      <c r="L28" s="44"/>
      <c r="N28" s="44"/>
      <c r="P28" s="44"/>
      <c r="Q28" s="44"/>
      <c r="R28" s="44"/>
      <c r="T28" s="44"/>
    </row>
    <row r="29" spans="1:20" x14ac:dyDescent="0.3">
      <c r="A29" s="45"/>
      <c r="I29" s="44"/>
      <c r="J29" s="44"/>
      <c r="K29" s="44"/>
      <c r="L29" s="44"/>
      <c r="N29" s="44"/>
      <c r="P29" s="44"/>
      <c r="Q29" s="44"/>
      <c r="R29" s="44"/>
      <c r="T29" s="44"/>
    </row>
    <row r="30" spans="1:20" x14ac:dyDescent="0.3">
      <c r="A30" s="45"/>
      <c r="I30" s="44"/>
      <c r="J30" s="44"/>
      <c r="K30" s="44"/>
      <c r="L30" s="44"/>
      <c r="N30" s="44"/>
      <c r="P30" s="44"/>
      <c r="Q30" s="44"/>
      <c r="R30" s="44"/>
      <c r="T30" s="44"/>
    </row>
    <row r="31" spans="1:20" x14ac:dyDescent="0.3">
      <c r="A31" s="45"/>
      <c r="I31" s="44"/>
      <c r="J31" s="44"/>
      <c r="K31" s="44"/>
      <c r="L31" s="44"/>
      <c r="N31" s="44"/>
      <c r="P31" s="44"/>
      <c r="Q31" s="44"/>
      <c r="R31" s="44"/>
      <c r="T31" s="44"/>
    </row>
    <row r="32" spans="1:20" x14ac:dyDescent="0.3">
      <c r="A32" s="45"/>
      <c r="I32" s="44"/>
      <c r="J32" s="44"/>
      <c r="K32" s="44"/>
      <c r="L32" s="44"/>
      <c r="N32" s="44"/>
      <c r="P32" s="44"/>
      <c r="Q32" s="44"/>
      <c r="R32" s="44"/>
      <c r="T32" s="44"/>
    </row>
    <row r="33" spans="1:20" x14ac:dyDescent="0.3">
      <c r="A33" s="45"/>
      <c r="I33" s="44"/>
      <c r="J33" s="44"/>
      <c r="K33" s="44"/>
      <c r="L33" s="44"/>
      <c r="N33" s="44"/>
      <c r="P33" s="44"/>
      <c r="Q33" s="44"/>
      <c r="R33" s="44"/>
      <c r="T33" s="44"/>
    </row>
    <row r="34" spans="1:20" x14ac:dyDescent="0.3">
      <c r="A34" s="45"/>
      <c r="I34" s="44"/>
      <c r="J34" s="44"/>
      <c r="K34" s="44"/>
      <c r="L34" s="44"/>
      <c r="N34" s="44"/>
      <c r="P34" s="44"/>
      <c r="Q34" s="44"/>
      <c r="R34" s="44"/>
      <c r="T34" s="44"/>
    </row>
    <row r="35" spans="1:20" x14ac:dyDescent="0.3">
      <c r="A35" s="45"/>
      <c r="I35" s="44"/>
      <c r="J35" s="44"/>
      <c r="K35" s="44"/>
      <c r="L35" s="44"/>
      <c r="N35" s="44"/>
      <c r="P35" s="44"/>
      <c r="Q35" s="44"/>
      <c r="R35" s="44"/>
      <c r="T35" s="44"/>
    </row>
    <row r="36" spans="1:20" x14ac:dyDescent="0.3">
      <c r="A36" s="45"/>
      <c r="I36" s="44"/>
      <c r="J36" s="44"/>
      <c r="K36" s="44"/>
      <c r="L36" s="44"/>
      <c r="N36" s="44"/>
      <c r="P36" s="44"/>
      <c r="Q36" s="44"/>
      <c r="R36" s="44"/>
      <c r="T36" s="44"/>
    </row>
    <row r="37" spans="1:20" x14ac:dyDescent="0.3">
      <c r="A37" s="45"/>
      <c r="I37" s="44"/>
      <c r="J37" s="44"/>
      <c r="K37" s="44"/>
      <c r="L37" s="44"/>
      <c r="N37" s="44"/>
      <c r="P37" s="44"/>
      <c r="Q37" s="44"/>
      <c r="R37" s="44"/>
      <c r="T37" s="44"/>
    </row>
    <row r="38" spans="1:20" x14ac:dyDescent="0.3">
      <c r="A38" s="45"/>
      <c r="I38" s="44"/>
      <c r="J38" s="44"/>
      <c r="K38" s="44"/>
      <c r="L38" s="44"/>
      <c r="N38" s="44"/>
      <c r="P38" s="44"/>
      <c r="Q38" s="44"/>
      <c r="R38" s="44"/>
      <c r="T38" s="44"/>
    </row>
    <row r="39" spans="1:20" x14ac:dyDescent="0.3">
      <c r="A39" s="45"/>
      <c r="I39" s="44"/>
      <c r="J39" s="44"/>
      <c r="K39" s="44"/>
      <c r="L39" s="44"/>
      <c r="N39" s="44"/>
      <c r="P39" s="44"/>
      <c r="Q39" s="44"/>
      <c r="R39" s="44"/>
      <c r="T39" s="44"/>
    </row>
    <row r="40" spans="1:20" x14ac:dyDescent="0.3">
      <c r="A40" s="45"/>
      <c r="I40" s="44"/>
      <c r="J40" s="44"/>
      <c r="K40" s="44"/>
      <c r="L40" s="44"/>
      <c r="N40" s="44"/>
      <c r="P40" s="44"/>
      <c r="Q40" s="44"/>
      <c r="R40" s="44"/>
      <c r="T40" s="44"/>
    </row>
    <row r="41" spans="1:20" x14ac:dyDescent="0.3">
      <c r="A41" s="45"/>
      <c r="I41" s="44"/>
      <c r="J41" s="44"/>
      <c r="K41" s="44"/>
      <c r="L41" s="44"/>
      <c r="N41" s="44"/>
      <c r="P41" s="44"/>
      <c r="Q41" s="44"/>
      <c r="R41" s="44"/>
      <c r="T41" s="44"/>
    </row>
    <row r="42" spans="1:20" x14ac:dyDescent="0.3">
      <c r="A42" s="45"/>
      <c r="I42" s="44"/>
      <c r="J42" s="44"/>
      <c r="K42" s="44"/>
      <c r="L42" s="44"/>
      <c r="N42" s="44"/>
      <c r="P42" s="44"/>
      <c r="Q42" s="44"/>
      <c r="R42" s="44"/>
      <c r="T42" s="44"/>
    </row>
    <row r="43" spans="1:20" x14ac:dyDescent="0.3">
      <c r="A43" s="103"/>
      <c r="I43" s="44"/>
      <c r="J43" s="44"/>
      <c r="K43" s="44"/>
      <c r="L43" s="44"/>
      <c r="N43" s="44"/>
      <c r="P43" s="44"/>
      <c r="Q43" s="44"/>
      <c r="R43" s="44"/>
      <c r="T43" s="44"/>
    </row>
    <row r="44" spans="1:20" x14ac:dyDescent="0.3">
      <c r="A44" s="103"/>
      <c r="I44" s="44"/>
      <c r="J44" s="44"/>
      <c r="K44" s="44"/>
      <c r="L44" s="44"/>
      <c r="N44" s="44"/>
      <c r="P44" s="44"/>
      <c r="Q44" s="44"/>
      <c r="R44" s="44"/>
      <c r="T44" s="44"/>
    </row>
    <row r="45" spans="1:20" x14ac:dyDescent="0.3">
      <c r="A45" s="103"/>
      <c r="I45" s="44"/>
      <c r="J45" s="44"/>
      <c r="K45" s="44"/>
      <c r="L45" s="44"/>
      <c r="N45" s="44"/>
      <c r="P45" s="44"/>
      <c r="Q45" s="44"/>
      <c r="R45" s="44"/>
      <c r="T45" s="44"/>
    </row>
    <row r="46" spans="1:20" x14ac:dyDescent="0.3">
      <c r="A46" s="103"/>
      <c r="I46" s="44"/>
      <c r="J46" s="44"/>
      <c r="K46" s="44"/>
      <c r="L46" s="44"/>
      <c r="N46" s="44"/>
      <c r="P46" s="44"/>
      <c r="Q46" s="44"/>
      <c r="R46" s="44"/>
      <c r="T46" s="44"/>
    </row>
    <row r="47" spans="1:20" x14ac:dyDescent="0.3">
      <c r="A47" s="103"/>
      <c r="I47" s="44"/>
      <c r="J47" s="44"/>
      <c r="K47" s="44"/>
      <c r="L47" s="44"/>
      <c r="N47" s="44"/>
      <c r="P47" s="44"/>
      <c r="Q47" s="44"/>
      <c r="R47" s="44"/>
      <c r="T47" s="44"/>
    </row>
    <row r="48" spans="1:20" x14ac:dyDescent="0.3">
      <c r="A48" s="103"/>
      <c r="I48" s="44"/>
      <c r="J48" s="44"/>
      <c r="K48" s="44"/>
      <c r="L48" s="44"/>
      <c r="N48" s="44"/>
      <c r="P48" s="44"/>
      <c r="Q48" s="44"/>
      <c r="R48" s="44"/>
      <c r="T48" s="44"/>
    </row>
    <row r="49" spans="1:20" x14ac:dyDescent="0.3">
      <c r="A49" s="103"/>
      <c r="I49" s="44"/>
      <c r="J49" s="44"/>
      <c r="K49" s="44"/>
      <c r="L49" s="44"/>
      <c r="N49" s="44"/>
      <c r="P49" s="44"/>
      <c r="Q49" s="44"/>
      <c r="R49" s="44"/>
      <c r="T49" s="44"/>
    </row>
    <row r="50" spans="1:20" x14ac:dyDescent="0.3">
      <c r="A50" s="103"/>
      <c r="I50" s="44"/>
      <c r="J50" s="44"/>
      <c r="K50" s="44"/>
      <c r="L50" s="44"/>
      <c r="N50" s="44"/>
      <c r="P50" s="44"/>
      <c r="Q50" s="44"/>
      <c r="R50" s="44"/>
      <c r="T50" s="44"/>
    </row>
    <row r="51" spans="1:20" x14ac:dyDescent="0.3">
      <c r="A51" s="103"/>
      <c r="I51" s="44"/>
      <c r="J51" s="44"/>
      <c r="K51" s="44"/>
      <c r="L51" s="44"/>
      <c r="N51" s="44"/>
      <c r="P51" s="44"/>
      <c r="Q51" s="44"/>
      <c r="R51" s="44"/>
      <c r="T51" s="44"/>
    </row>
    <row r="52" spans="1:20" x14ac:dyDescent="0.3">
      <c r="A52" s="103"/>
      <c r="I52" s="44"/>
      <c r="J52" s="44"/>
      <c r="K52" s="44"/>
      <c r="L52" s="44"/>
      <c r="N52" s="44"/>
      <c r="P52" s="44"/>
      <c r="Q52" s="44"/>
      <c r="R52" s="44"/>
      <c r="T52" s="44"/>
    </row>
    <row r="53" spans="1:20" x14ac:dyDescent="0.3">
      <c r="A53" s="103"/>
      <c r="I53" s="44"/>
      <c r="J53" s="44"/>
      <c r="K53" s="44"/>
      <c r="L53" s="44"/>
      <c r="N53" s="44"/>
      <c r="P53" s="44"/>
      <c r="Q53" s="44"/>
      <c r="R53" s="44"/>
      <c r="T53" s="44"/>
    </row>
    <row r="54" spans="1:20" x14ac:dyDescent="0.3">
      <c r="A54" s="103"/>
      <c r="I54" s="44"/>
      <c r="J54" s="44"/>
      <c r="K54" s="44"/>
      <c r="L54" s="44"/>
      <c r="N54" s="44"/>
      <c r="P54" s="44"/>
      <c r="Q54" s="44"/>
      <c r="R54" s="44"/>
      <c r="T54" s="44"/>
    </row>
    <row r="55" spans="1:20" x14ac:dyDescent="0.3">
      <c r="A55" s="103"/>
      <c r="I55" s="44"/>
      <c r="J55" s="44"/>
      <c r="K55" s="44"/>
      <c r="L55" s="44"/>
      <c r="N55" s="44"/>
      <c r="P55" s="44"/>
      <c r="Q55" s="44"/>
      <c r="R55" s="44"/>
      <c r="T55" s="44"/>
    </row>
    <row r="56" spans="1:20" x14ac:dyDescent="0.3">
      <c r="A56" s="103"/>
      <c r="I56" s="44"/>
      <c r="J56" s="44"/>
      <c r="K56" s="44"/>
      <c r="L56" s="44"/>
      <c r="N56" s="44"/>
      <c r="P56" s="44"/>
      <c r="Q56" s="44"/>
      <c r="R56" s="44"/>
      <c r="T56" s="44"/>
    </row>
    <row r="57" spans="1:20" x14ac:dyDescent="0.3">
      <c r="A57" s="103"/>
      <c r="I57" s="44"/>
      <c r="J57" s="44"/>
      <c r="K57" s="44"/>
      <c r="L57" s="44"/>
      <c r="N57" s="44"/>
      <c r="P57" s="44"/>
      <c r="Q57" s="44"/>
      <c r="R57" s="44"/>
      <c r="T57" s="44"/>
    </row>
    <row r="58" spans="1:20" x14ac:dyDescent="0.3">
      <c r="A58" s="103"/>
      <c r="I58" s="44"/>
      <c r="J58" s="44"/>
      <c r="K58" s="44"/>
      <c r="L58" s="44"/>
      <c r="N58" s="44"/>
      <c r="P58" s="44"/>
      <c r="Q58" s="44"/>
      <c r="R58" s="44"/>
      <c r="T58" s="44"/>
    </row>
    <row r="59" spans="1:20" x14ac:dyDescent="0.3">
      <c r="A59" s="103"/>
      <c r="I59" s="44"/>
      <c r="J59" s="44"/>
      <c r="K59" s="44"/>
      <c r="L59" s="44"/>
      <c r="N59" s="44"/>
      <c r="P59" s="44"/>
      <c r="Q59" s="44"/>
      <c r="R59" s="44"/>
      <c r="T59" s="44"/>
    </row>
    <row r="60" spans="1:20" x14ac:dyDescent="0.3">
      <c r="A60" s="103"/>
      <c r="I60" s="44"/>
      <c r="J60" s="44"/>
      <c r="K60" s="44"/>
      <c r="L60" s="44"/>
      <c r="N60" s="44"/>
      <c r="P60" s="44"/>
      <c r="Q60" s="44"/>
      <c r="R60" s="44"/>
      <c r="T60" s="44"/>
    </row>
    <row r="61" spans="1:20" x14ac:dyDescent="0.3">
      <c r="A61" s="103"/>
      <c r="I61" s="44"/>
      <c r="J61" s="44"/>
      <c r="K61" s="44"/>
      <c r="L61" s="44"/>
      <c r="N61" s="44"/>
      <c r="P61" s="44"/>
      <c r="Q61" s="44"/>
      <c r="R61" s="44"/>
      <c r="T61" s="44"/>
    </row>
    <row r="62" spans="1:20" x14ac:dyDescent="0.3">
      <c r="A62" s="44"/>
      <c r="I62" s="44"/>
      <c r="J62" s="44"/>
      <c r="K62" s="44"/>
      <c r="L62" s="44"/>
      <c r="N62" s="44"/>
      <c r="P62" s="44"/>
      <c r="Q62" s="44"/>
      <c r="R62" s="44"/>
      <c r="T62" s="44"/>
    </row>
    <row r="63" spans="1:20" x14ac:dyDescent="0.3">
      <c r="A63" s="44"/>
      <c r="I63" s="44"/>
      <c r="J63" s="44"/>
      <c r="K63" s="44"/>
      <c r="L63" s="44"/>
      <c r="N63" s="44"/>
      <c r="P63" s="44"/>
      <c r="Q63" s="44"/>
      <c r="R63" s="44"/>
      <c r="T63" s="44"/>
    </row>
    <row r="64" spans="1:20" x14ac:dyDescent="0.3">
      <c r="A64" s="44"/>
      <c r="I64" s="44"/>
      <c r="J64" s="44"/>
      <c r="K64" s="44"/>
      <c r="L64" s="44"/>
      <c r="N64" s="44"/>
      <c r="P64" s="44"/>
      <c r="Q64" s="44"/>
      <c r="R64" s="44"/>
      <c r="T64" s="44"/>
    </row>
    <row r="65" spans="1:20" x14ac:dyDescent="0.3">
      <c r="A65" s="44"/>
      <c r="I65" s="44"/>
      <c r="J65" s="44"/>
      <c r="K65" s="44"/>
      <c r="L65" s="44"/>
      <c r="N65" s="44"/>
      <c r="P65" s="44"/>
      <c r="Q65" s="44"/>
      <c r="R65" s="44"/>
      <c r="T65" s="44"/>
    </row>
    <row r="66" spans="1:20" hidden="1" x14ac:dyDescent="0.3">
      <c r="A66" s="44"/>
      <c r="I66" s="44"/>
      <c r="J66" s="44"/>
      <c r="K66" s="44"/>
      <c r="L66" s="44"/>
      <c r="N66" s="44"/>
      <c r="P66" s="44"/>
      <c r="Q66" s="44"/>
      <c r="R66" s="44"/>
      <c r="T66" s="44"/>
    </row>
    <row r="67" spans="1:20" s="110" customFormat="1" ht="15" hidden="1" customHeight="1" x14ac:dyDescent="0.45">
      <c r="A67" s="108" t="s">
        <v>119</v>
      </c>
      <c r="B67" s="109"/>
      <c r="C67" s="109"/>
      <c r="D67" s="109"/>
      <c r="E67" s="109"/>
      <c r="F67" s="167"/>
      <c r="G67" s="109"/>
      <c r="H67" s="167"/>
      <c r="I67" s="109">
        <v>6120</v>
      </c>
      <c r="J67" s="109">
        <v>6120</v>
      </c>
      <c r="K67" s="109"/>
      <c r="L67" s="109"/>
      <c r="M67" s="167"/>
      <c r="N67" s="109">
        <v>6120</v>
      </c>
      <c r="O67" s="167"/>
      <c r="P67" s="109">
        <v>6120</v>
      </c>
      <c r="Q67" s="109">
        <v>6120</v>
      </c>
      <c r="R67" s="109"/>
      <c r="S67" s="167"/>
      <c r="T67" s="109">
        <v>6120</v>
      </c>
    </row>
    <row r="68" spans="1:20" s="110" customFormat="1" ht="14.25" hidden="1" x14ac:dyDescent="0.45">
      <c r="A68" s="111" t="s">
        <v>120</v>
      </c>
      <c r="B68" s="109"/>
      <c r="C68" s="109"/>
      <c r="D68" s="109"/>
      <c r="E68" s="109"/>
      <c r="F68" s="167"/>
      <c r="G68" s="109"/>
      <c r="H68" s="167"/>
      <c r="I68" s="109">
        <v>35135</v>
      </c>
      <c r="J68" s="109">
        <v>35135</v>
      </c>
      <c r="K68" s="109"/>
      <c r="L68" s="109"/>
      <c r="M68" s="167"/>
      <c r="N68" s="109">
        <v>35135</v>
      </c>
      <c r="O68" s="167"/>
      <c r="P68" s="109">
        <v>35135</v>
      </c>
      <c r="Q68" s="109">
        <v>35135</v>
      </c>
      <c r="R68" s="109"/>
      <c r="S68" s="167"/>
      <c r="T68" s="109">
        <v>35135</v>
      </c>
    </row>
    <row r="69" spans="1:20" s="114" customFormat="1" ht="14.25" hidden="1" x14ac:dyDescent="0.45">
      <c r="A69" s="112" t="s">
        <v>121</v>
      </c>
      <c r="B69" s="113"/>
      <c r="C69" s="113"/>
      <c r="D69" s="113"/>
      <c r="E69" s="113"/>
      <c r="F69" s="168"/>
      <c r="G69" s="113"/>
      <c r="H69" s="168"/>
      <c r="I69" s="113">
        <f>+I67/I68</f>
        <v>0.17418528532802049</v>
      </c>
      <c r="J69" s="113">
        <f>+J67/J68</f>
        <v>0.17418528532802049</v>
      </c>
      <c r="K69" s="113"/>
      <c r="L69" s="113"/>
      <c r="M69" s="168"/>
      <c r="N69" s="113">
        <f>+N67/N68</f>
        <v>0.17418528532802049</v>
      </c>
      <c r="O69" s="168"/>
      <c r="P69" s="113">
        <f>+P67/P68</f>
        <v>0.17418528532802049</v>
      </c>
      <c r="Q69" s="113">
        <f>+Q67/Q68</f>
        <v>0.17418528532802049</v>
      </c>
      <c r="R69" s="113"/>
      <c r="S69" s="168"/>
      <c r="T69" s="113">
        <f>+T67/T68</f>
        <v>0.17418528532802049</v>
      </c>
    </row>
    <row r="70" spans="1:20" s="110" customFormat="1" ht="14.25" hidden="1" x14ac:dyDescent="0.45">
      <c r="A70" s="111" t="s">
        <v>117</v>
      </c>
      <c r="B70" s="109"/>
      <c r="C70" s="109"/>
      <c r="D70" s="109"/>
      <c r="E70" s="109"/>
      <c r="F70" s="167"/>
      <c r="G70" s="109"/>
      <c r="H70" s="167"/>
      <c r="I70" s="109">
        <v>16116</v>
      </c>
      <c r="J70" s="109">
        <v>16116</v>
      </c>
      <c r="K70" s="109"/>
      <c r="L70" s="109"/>
      <c r="M70" s="167"/>
      <c r="N70" s="109">
        <v>16116</v>
      </c>
      <c r="O70" s="167"/>
      <c r="P70" s="109">
        <v>16116</v>
      </c>
      <c r="Q70" s="109">
        <v>16116</v>
      </c>
      <c r="R70" s="109"/>
      <c r="S70" s="167"/>
      <c r="T70" s="109">
        <v>16116</v>
      </c>
    </row>
    <row r="71" spans="1:20" s="110" customFormat="1" ht="14.25" hidden="1" x14ac:dyDescent="0.45">
      <c r="A71" s="111" t="s">
        <v>122</v>
      </c>
      <c r="B71" s="109"/>
      <c r="C71" s="109"/>
      <c r="D71" s="109"/>
      <c r="E71" s="109"/>
      <c r="F71" s="167"/>
      <c r="G71" s="109"/>
      <c r="H71" s="167"/>
      <c r="I71" s="109">
        <v>188933</v>
      </c>
      <c r="J71" s="109">
        <v>188933</v>
      </c>
      <c r="K71" s="109"/>
      <c r="L71" s="109"/>
      <c r="M71" s="167"/>
      <c r="N71" s="109">
        <v>188933</v>
      </c>
      <c r="O71" s="167"/>
      <c r="P71" s="109">
        <v>188933</v>
      </c>
      <c r="Q71" s="109">
        <v>188933</v>
      </c>
      <c r="R71" s="109"/>
      <c r="S71" s="167"/>
      <c r="T71" s="109">
        <v>188933</v>
      </c>
    </row>
    <row r="72" spans="1:20" s="114" customFormat="1" ht="14.25" hidden="1" x14ac:dyDescent="0.45">
      <c r="A72" s="115" t="s">
        <v>123</v>
      </c>
      <c r="B72" s="113"/>
      <c r="C72" s="113"/>
      <c r="D72" s="113"/>
      <c r="E72" s="113"/>
      <c r="F72" s="168"/>
      <c r="G72" s="113"/>
      <c r="H72" s="168"/>
      <c r="I72" s="113">
        <f>++I70/I71</f>
        <v>8.5300079922512206E-2</v>
      </c>
      <c r="J72" s="113">
        <f>++J70/J71</f>
        <v>8.5300079922512206E-2</v>
      </c>
      <c r="K72" s="113"/>
      <c r="L72" s="113"/>
      <c r="M72" s="168"/>
      <c r="N72" s="113">
        <f>++N70/N71</f>
        <v>8.5300079922512206E-2</v>
      </c>
      <c r="O72" s="168"/>
      <c r="P72" s="113">
        <f>++P70/P71</f>
        <v>8.5300079922512206E-2</v>
      </c>
      <c r="Q72" s="113">
        <f>++Q70/Q71</f>
        <v>8.5300079922512206E-2</v>
      </c>
      <c r="R72" s="113"/>
      <c r="S72" s="168"/>
      <c r="T72" s="113">
        <f>++T70/T71</f>
        <v>8.5300079922512206E-2</v>
      </c>
    </row>
    <row r="73" spans="1:20" hidden="1" x14ac:dyDescent="0.3">
      <c r="A73" s="44"/>
      <c r="I73" s="44"/>
      <c r="J73" s="44"/>
      <c r="K73" s="44"/>
      <c r="L73" s="44"/>
      <c r="N73" s="44"/>
      <c r="P73" s="44"/>
      <c r="Q73" s="44"/>
      <c r="R73" s="44"/>
      <c r="T73" s="44"/>
    </row>
    <row r="74" spans="1:20" x14ac:dyDescent="0.3">
      <c r="A74" s="44"/>
      <c r="I74" s="44"/>
      <c r="J74" s="44"/>
      <c r="K74" s="44"/>
      <c r="L74" s="44"/>
      <c r="N74" s="44"/>
      <c r="P74" s="44"/>
      <c r="Q74" s="44"/>
      <c r="R74" s="44"/>
      <c r="T74" s="44"/>
    </row>
    <row r="75" spans="1:20" x14ac:dyDescent="0.3">
      <c r="A75" s="44"/>
      <c r="I75" s="44"/>
      <c r="J75" s="44"/>
      <c r="K75" s="44"/>
      <c r="L75" s="44"/>
      <c r="N75" s="44"/>
      <c r="P75" s="44"/>
      <c r="Q75" s="44"/>
      <c r="R75" s="44"/>
      <c r="T75" s="44"/>
    </row>
    <row r="76" spans="1:20" x14ac:dyDescent="0.3">
      <c r="A76" s="44"/>
      <c r="I76" s="44"/>
      <c r="J76" s="44"/>
      <c r="K76" s="44"/>
      <c r="L76" s="44"/>
      <c r="N76" s="44"/>
      <c r="P76" s="44"/>
      <c r="Q76" s="44"/>
      <c r="R76" s="44"/>
      <c r="T76" s="44"/>
    </row>
    <row r="77" spans="1:20" x14ac:dyDescent="0.3">
      <c r="A77" s="44"/>
      <c r="I77" s="44"/>
      <c r="J77" s="44"/>
      <c r="K77" s="44"/>
      <c r="L77" s="44"/>
      <c r="N77" s="44"/>
      <c r="P77" s="44"/>
      <c r="Q77" s="44"/>
      <c r="R77" s="44"/>
      <c r="T77" s="44"/>
    </row>
    <row r="78" spans="1:20" x14ac:dyDescent="0.3">
      <c r="A78" s="44"/>
      <c r="I78" s="44"/>
      <c r="J78" s="44"/>
      <c r="K78" s="44"/>
      <c r="L78" s="44"/>
      <c r="N78" s="44"/>
      <c r="P78" s="44"/>
      <c r="Q78" s="44"/>
      <c r="R78" s="44"/>
      <c r="T78" s="44"/>
    </row>
    <row r="79" spans="1:20" x14ac:dyDescent="0.3">
      <c r="A79" s="44"/>
      <c r="I79" s="44"/>
      <c r="J79" s="44"/>
      <c r="K79" s="44"/>
      <c r="L79" s="44"/>
      <c r="N79" s="44"/>
      <c r="P79" s="44"/>
      <c r="Q79" s="44"/>
      <c r="R79" s="44"/>
      <c r="T79" s="44"/>
    </row>
    <row r="80" spans="1:20" x14ac:dyDescent="0.3">
      <c r="A80" s="44"/>
      <c r="I80" s="44"/>
      <c r="J80" s="44"/>
      <c r="K80" s="44"/>
      <c r="L80" s="44"/>
      <c r="N80" s="44"/>
      <c r="P80" s="44"/>
      <c r="Q80" s="44"/>
      <c r="R80" s="44"/>
      <c r="T80" s="44"/>
    </row>
    <row r="81" s="44" customFormat="1" x14ac:dyDescent="0.3"/>
    <row r="82" s="44" customFormat="1" x14ac:dyDescent="0.3"/>
    <row r="83" s="44" customFormat="1" x14ac:dyDescent="0.3"/>
    <row r="84" s="44" customFormat="1" x14ac:dyDescent="0.3"/>
    <row r="85" s="44" customFormat="1" x14ac:dyDescent="0.3"/>
    <row r="86" s="44" customFormat="1" x14ac:dyDescent="0.3"/>
    <row r="87" s="44" customFormat="1" x14ac:dyDescent="0.3"/>
    <row r="88" s="44" customFormat="1" x14ac:dyDescent="0.3"/>
    <row r="89" s="44" customFormat="1" x14ac:dyDescent="0.3"/>
    <row r="90" s="44" customFormat="1" x14ac:dyDescent="0.3"/>
    <row r="91" s="44" customFormat="1" x14ac:dyDescent="0.3"/>
    <row r="92" s="44" customFormat="1" x14ac:dyDescent="0.3"/>
    <row r="93" s="44" customFormat="1" x14ac:dyDescent="0.3"/>
    <row r="94" s="44" customFormat="1" x14ac:dyDescent="0.3"/>
    <row r="95" s="44" customFormat="1" x14ac:dyDescent="0.3"/>
    <row r="96" s="44" customFormat="1" x14ac:dyDescent="0.3"/>
    <row r="97" s="44" customFormat="1" x14ac:dyDescent="0.3"/>
    <row r="98" s="44" customFormat="1" x14ac:dyDescent="0.3"/>
    <row r="99" s="44" customFormat="1" x14ac:dyDescent="0.3"/>
    <row r="100" s="44" customFormat="1" x14ac:dyDescent="0.3"/>
    <row r="101" s="44" customFormat="1" x14ac:dyDescent="0.3"/>
    <row r="102" s="44" customFormat="1" x14ac:dyDescent="0.3"/>
    <row r="103" s="44" customFormat="1" x14ac:dyDescent="0.3"/>
    <row r="104" s="44" customFormat="1" x14ac:dyDescent="0.3"/>
    <row r="105" s="44" customFormat="1" x14ac:dyDescent="0.3"/>
    <row r="106" s="44" customFormat="1" x14ac:dyDescent="0.3"/>
    <row r="107" s="44" customFormat="1" x14ac:dyDescent="0.3"/>
    <row r="108" s="44" customFormat="1" x14ac:dyDescent="0.3"/>
    <row r="109" s="44" customFormat="1" x14ac:dyDescent="0.3"/>
    <row r="110" s="44" customFormat="1" x14ac:dyDescent="0.3"/>
    <row r="111" s="44" customFormat="1" x14ac:dyDescent="0.3"/>
    <row r="112" s="44" customFormat="1" x14ac:dyDescent="0.3"/>
    <row r="113" s="44" customFormat="1" x14ac:dyDescent="0.3"/>
    <row r="114" s="44" customFormat="1" x14ac:dyDescent="0.3"/>
    <row r="115" s="44" customFormat="1" x14ac:dyDescent="0.3"/>
    <row r="116" s="44" customFormat="1" x14ac:dyDescent="0.3"/>
    <row r="117" s="44" customFormat="1" x14ac:dyDescent="0.3"/>
    <row r="118" s="44" customFormat="1" x14ac:dyDescent="0.3"/>
    <row r="119" s="44" customFormat="1" x14ac:dyDescent="0.3"/>
    <row r="120" s="44" customFormat="1" x14ac:dyDescent="0.3"/>
    <row r="121" s="44" customFormat="1" x14ac:dyDescent="0.3"/>
    <row r="122" s="44" customFormat="1" x14ac:dyDescent="0.3"/>
    <row r="123" s="44" customFormat="1" x14ac:dyDescent="0.3"/>
    <row r="124" s="44" customFormat="1" x14ac:dyDescent="0.3"/>
    <row r="125" s="44" customFormat="1" x14ac:dyDescent="0.3"/>
    <row r="126" s="44" customFormat="1" x14ac:dyDescent="0.3"/>
    <row r="127" s="44" customFormat="1" x14ac:dyDescent="0.3"/>
    <row r="128" s="44" customFormat="1" x14ac:dyDescent="0.3"/>
    <row r="129" s="44" customFormat="1" x14ac:dyDescent="0.3"/>
    <row r="130" s="44" customFormat="1" x14ac:dyDescent="0.3"/>
    <row r="131" s="44" customFormat="1" x14ac:dyDescent="0.3"/>
    <row r="132" s="44" customFormat="1" x14ac:dyDescent="0.3"/>
    <row r="133" s="44" customFormat="1" x14ac:dyDescent="0.3"/>
    <row r="134" s="44" customFormat="1" x14ac:dyDescent="0.3"/>
    <row r="135" s="44" customFormat="1" x14ac:dyDescent="0.3"/>
    <row r="136" s="44" customFormat="1" x14ac:dyDescent="0.3"/>
    <row r="137" s="44" customFormat="1" x14ac:dyDescent="0.3"/>
    <row r="138" s="44" customFormat="1" x14ac:dyDescent="0.3"/>
    <row r="139" s="44" customFormat="1" x14ac:dyDescent="0.3"/>
    <row r="140" s="44" customFormat="1" x14ac:dyDescent="0.3"/>
    <row r="141" s="44" customFormat="1" x14ac:dyDescent="0.3"/>
    <row r="142" s="44" customFormat="1" x14ac:dyDescent="0.3"/>
    <row r="143" s="44" customFormat="1" x14ac:dyDescent="0.3"/>
    <row r="144" s="44" customFormat="1" x14ac:dyDescent="0.3"/>
    <row r="145" s="44" customFormat="1" x14ac:dyDescent="0.3"/>
    <row r="146" s="44" customFormat="1" x14ac:dyDescent="0.3"/>
    <row r="147" s="44" customFormat="1" x14ac:dyDescent="0.3"/>
    <row r="148" s="44" customFormat="1" x14ac:dyDescent="0.3"/>
    <row r="149" s="44" customFormat="1" x14ac:dyDescent="0.3"/>
    <row r="150" s="44" customFormat="1" x14ac:dyDescent="0.3"/>
    <row r="151" s="44" customFormat="1" x14ac:dyDescent="0.3"/>
    <row r="152" s="44" customFormat="1" x14ac:dyDescent="0.3"/>
    <row r="153" s="44" customFormat="1" x14ac:dyDescent="0.3"/>
    <row r="154" s="44" customFormat="1" x14ac:dyDescent="0.3"/>
    <row r="155" s="44" customFormat="1" x14ac:dyDescent="0.3"/>
    <row r="156" s="44" customFormat="1" x14ac:dyDescent="0.3"/>
    <row r="157" s="44" customFormat="1" x14ac:dyDescent="0.3"/>
    <row r="158" s="44" customFormat="1" x14ac:dyDescent="0.3"/>
    <row r="159" s="44" customFormat="1" x14ac:dyDescent="0.3"/>
    <row r="160" s="44" customFormat="1" x14ac:dyDescent="0.3"/>
    <row r="161" s="44" customFormat="1" x14ac:dyDescent="0.3"/>
    <row r="162" s="44" customFormat="1" x14ac:dyDescent="0.3"/>
    <row r="163" s="44" customFormat="1" x14ac:dyDescent="0.3"/>
    <row r="164" s="44" customFormat="1" x14ac:dyDescent="0.3"/>
    <row r="165" s="44" customFormat="1" x14ac:dyDescent="0.3"/>
    <row r="166" s="44" customFormat="1" x14ac:dyDescent="0.3"/>
    <row r="167" s="44" customFormat="1" x14ac:dyDescent="0.3"/>
    <row r="168" s="44" customFormat="1" x14ac:dyDescent="0.3"/>
    <row r="169" s="44" customFormat="1" x14ac:dyDescent="0.3"/>
    <row r="170" s="44" customFormat="1" x14ac:dyDescent="0.3"/>
    <row r="171" s="44" customFormat="1" x14ac:dyDescent="0.3"/>
    <row r="172" s="44" customFormat="1" x14ac:dyDescent="0.3"/>
    <row r="173" s="44" customFormat="1" x14ac:dyDescent="0.3"/>
  </sheetData>
  <mergeCells count="3">
    <mergeCell ref="B3:E3"/>
    <mergeCell ref="I3:L3"/>
    <mergeCell ref="P3:R3"/>
  </mergeCells>
  <pageMargins left="0.25" right="0.25" top="0.75" bottom="0.75" header="0.3" footer="0.3"/>
  <pageSetup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50451-C0EA-43E3-B782-537193C54070}">
  <sheetPr>
    <tabColor rgb="FF0079FF"/>
    <pageSetUpPr fitToPage="1"/>
  </sheetPr>
  <dimension ref="A1:T128"/>
  <sheetViews>
    <sheetView zoomScale="70" zoomScaleNormal="70" zoomScaleSheetLayoutView="70"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90.73046875" style="67" customWidth="1"/>
    <col min="2" max="5" width="20.73046875" style="44" hidden="1" customWidth="1" outlineLevel="1"/>
    <col min="6" max="6" width="1.3984375" style="44" hidden="1" customWidth="1" outlineLevel="1"/>
    <col min="7" max="7" width="20.73046875" style="44" customWidth="1" collapsed="1"/>
    <col min="8" max="8" width="1.3984375" style="44" customWidth="1"/>
    <col min="9" max="12" width="20.73046875" style="67" hidden="1" customWidth="1" outlineLevel="1"/>
    <col min="13" max="13" width="1.86328125" style="44" hidden="1" customWidth="1" outlineLevel="1"/>
    <col min="14" max="14" width="20.73046875" style="67" customWidth="1" collapsed="1"/>
    <col min="15" max="15" width="1.3984375" style="44" customWidth="1"/>
    <col min="16" max="18" width="20.73046875" style="67" customWidth="1"/>
    <col min="19" max="19" width="1.59765625" style="44" customWidth="1"/>
    <col min="20" max="20" width="20.73046875" style="67" customWidth="1"/>
    <col min="21" max="16384" width="9.1328125" style="44"/>
  </cols>
  <sheetData>
    <row r="1" spans="1:20" s="102" customFormat="1" ht="17.649999999999999" x14ac:dyDescent="0.5">
      <c r="A1" s="116" t="s">
        <v>202</v>
      </c>
      <c r="F1" s="44"/>
      <c r="H1" s="44"/>
      <c r="M1" s="44"/>
      <c r="O1" s="44"/>
    </row>
    <row r="2" spans="1:20" s="102" customFormat="1" ht="12" customHeight="1" x14ac:dyDescent="0.3">
      <c r="A2" s="117"/>
      <c r="F2" s="44"/>
      <c r="H2" s="44"/>
      <c r="M2" s="44"/>
      <c r="O2" s="44"/>
    </row>
    <row r="3" spans="1:20" s="7" customFormat="1" ht="30" customHeight="1" x14ac:dyDescent="0.4">
      <c r="A3" s="48"/>
      <c r="B3" s="319" t="s">
        <v>10</v>
      </c>
      <c r="C3" s="319"/>
      <c r="D3" s="319"/>
      <c r="E3" s="319"/>
      <c r="F3" s="147"/>
      <c r="G3" s="47" t="s">
        <v>247</v>
      </c>
      <c r="H3" s="147"/>
      <c r="I3" s="319" t="s">
        <v>10</v>
      </c>
      <c r="J3" s="319"/>
      <c r="K3" s="319"/>
      <c r="L3" s="319"/>
      <c r="M3" s="147"/>
      <c r="N3" s="47" t="s">
        <v>247</v>
      </c>
      <c r="O3" s="147"/>
      <c r="P3" s="319" t="s">
        <v>10</v>
      </c>
      <c r="Q3" s="319"/>
      <c r="R3" s="319"/>
      <c r="T3" s="47" t="s">
        <v>289</v>
      </c>
    </row>
    <row r="4" spans="1:20" s="7" customFormat="1" ht="30" customHeight="1" x14ac:dyDescent="0.4">
      <c r="A4" s="118" t="s">
        <v>124</v>
      </c>
      <c r="B4" s="49" t="s">
        <v>43</v>
      </c>
      <c r="C4" s="49" t="s">
        <v>229</v>
      </c>
      <c r="D4" s="49" t="s">
        <v>241</v>
      </c>
      <c r="E4" s="49" t="s">
        <v>44</v>
      </c>
      <c r="F4" s="148"/>
      <c r="G4" s="49" t="s">
        <v>44</v>
      </c>
      <c r="H4" s="148"/>
      <c r="I4" s="49" t="s">
        <v>103</v>
      </c>
      <c r="J4" s="49" t="s">
        <v>230</v>
      </c>
      <c r="K4" s="49" t="s">
        <v>242</v>
      </c>
      <c r="L4" s="49" t="s">
        <v>246</v>
      </c>
      <c r="M4" s="148"/>
      <c r="N4" s="49" t="s">
        <v>246</v>
      </c>
      <c r="O4" s="148"/>
      <c r="P4" s="49" t="s">
        <v>267</v>
      </c>
      <c r="Q4" s="49" t="s">
        <v>277</v>
      </c>
      <c r="R4" s="49" t="s">
        <v>288</v>
      </c>
      <c r="T4" s="49" t="s">
        <v>288</v>
      </c>
    </row>
    <row r="5" spans="1:20" s="58" customFormat="1" ht="16.899999999999999" x14ac:dyDescent="0.5">
      <c r="A5" s="51"/>
    </row>
    <row r="6" spans="1:20" s="58" customFormat="1" ht="33" x14ac:dyDescent="0.45">
      <c r="A6" s="119" t="s">
        <v>215</v>
      </c>
      <c r="B6" s="120">
        <v>-0.23</v>
      </c>
      <c r="C6" s="120">
        <v>-0.18</v>
      </c>
      <c r="D6" s="120">
        <v>-0.08</v>
      </c>
      <c r="E6" s="120">
        <v>-0.39</v>
      </c>
      <c r="F6" s="169"/>
      <c r="G6" s="120">
        <v>-0.88</v>
      </c>
      <c r="H6" s="169"/>
      <c r="I6" s="120">
        <v>-0.04</v>
      </c>
      <c r="J6" s="120">
        <v>0</v>
      </c>
      <c r="K6" s="120">
        <v>0.12</v>
      </c>
      <c r="L6" s="120">
        <v>-0.15</v>
      </c>
      <c r="M6" s="169"/>
      <c r="N6" s="120">
        <v>-7.0000000000000007E-2</v>
      </c>
      <c r="O6" s="169"/>
      <c r="P6" s="120">
        <v>-0.08</v>
      </c>
      <c r="Q6" s="120">
        <v>-0.12</v>
      </c>
      <c r="R6" s="120">
        <v>-0.02</v>
      </c>
      <c r="T6" s="120">
        <v>-0.21</v>
      </c>
    </row>
    <row r="7" spans="1:20" s="97" customFormat="1" ht="33" x14ac:dyDescent="0.45">
      <c r="A7" s="119" t="s">
        <v>234</v>
      </c>
      <c r="B7" s="120">
        <v>0.4</v>
      </c>
      <c r="C7" s="120">
        <v>0.78</v>
      </c>
      <c r="D7" s="120">
        <v>0.73</v>
      </c>
      <c r="E7" s="120">
        <v>0.65</v>
      </c>
      <c r="F7" s="169"/>
      <c r="G7" s="120">
        <v>2.57</v>
      </c>
      <c r="H7" s="169"/>
      <c r="I7" s="120">
        <v>0.44</v>
      </c>
      <c r="J7" s="120">
        <v>0.57999999999999996</v>
      </c>
      <c r="K7" s="120">
        <v>0.69</v>
      </c>
      <c r="L7" s="120">
        <v>0.56999999999999995</v>
      </c>
      <c r="M7" s="169"/>
      <c r="N7" s="120">
        <v>2.2799999999999998</v>
      </c>
      <c r="O7" s="169"/>
      <c r="P7" s="120">
        <v>0.52</v>
      </c>
      <c r="Q7" s="120">
        <v>0.56000000000000005</v>
      </c>
      <c r="R7" s="120">
        <v>0.69</v>
      </c>
      <c r="T7" s="120">
        <v>1.77</v>
      </c>
    </row>
    <row r="8" spans="1:20" s="97" customFormat="1" ht="16.5" x14ac:dyDescent="0.45">
      <c r="A8" s="119"/>
      <c r="B8" s="120"/>
      <c r="C8" s="120"/>
      <c r="D8" s="120"/>
      <c r="E8" s="120"/>
      <c r="F8" s="169"/>
      <c r="G8" s="120"/>
      <c r="H8" s="169"/>
      <c r="I8" s="120"/>
      <c r="J8" s="120"/>
      <c r="K8" s="120"/>
      <c r="L8" s="120"/>
      <c r="M8" s="169"/>
      <c r="N8" s="120"/>
      <c r="O8" s="169"/>
      <c r="P8" s="120"/>
      <c r="Q8" s="120"/>
      <c r="R8" s="120"/>
      <c r="T8" s="120"/>
    </row>
    <row r="9" spans="1:20" s="53" customFormat="1" ht="33.75" x14ac:dyDescent="0.5">
      <c r="A9" s="121" t="s">
        <v>220</v>
      </c>
      <c r="B9" s="122">
        <v>64376</v>
      </c>
      <c r="C9" s="122">
        <v>65849</v>
      </c>
      <c r="D9" s="122">
        <v>66234</v>
      </c>
      <c r="E9" s="122">
        <v>65753</v>
      </c>
      <c r="F9" s="170"/>
      <c r="G9" s="122">
        <v>65173</v>
      </c>
      <c r="H9" s="170"/>
      <c r="I9" s="122">
        <v>65661</v>
      </c>
      <c r="J9" s="122">
        <v>65194</v>
      </c>
      <c r="K9" s="122">
        <v>66328</v>
      </c>
      <c r="L9" s="122">
        <v>65916</v>
      </c>
      <c r="M9" s="170"/>
      <c r="N9" s="122">
        <v>65591</v>
      </c>
      <c r="O9" s="170"/>
      <c r="P9" s="122">
        <v>64947</v>
      </c>
      <c r="Q9" s="122">
        <v>64958</v>
      </c>
      <c r="R9" s="122">
        <v>65583</v>
      </c>
      <c r="T9" s="122">
        <v>65161</v>
      </c>
    </row>
    <row r="10" spans="1:20" s="58" customFormat="1" ht="33" x14ac:dyDescent="0.45">
      <c r="A10" s="123" t="s">
        <v>221</v>
      </c>
      <c r="B10" s="124">
        <v>1233</v>
      </c>
      <c r="C10" s="124">
        <v>3495</v>
      </c>
      <c r="D10" s="124">
        <v>3739</v>
      </c>
      <c r="E10" s="124">
        <v>4846</v>
      </c>
      <c r="F10" s="171"/>
      <c r="G10" s="124">
        <v>3654</v>
      </c>
      <c r="H10" s="171"/>
      <c r="I10" s="124">
        <v>10031</v>
      </c>
      <c r="J10" s="124">
        <v>10684</v>
      </c>
      <c r="K10" s="124">
        <v>9478</v>
      </c>
      <c r="L10" s="124">
        <v>10657</v>
      </c>
      <c r="M10" s="171"/>
      <c r="N10" s="124">
        <v>10419</v>
      </c>
      <c r="O10" s="171"/>
      <c r="P10" s="124">
        <v>1255</v>
      </c>
      <c r="Q10" s="124">
        <v>10356</v>
      </c>
      <c r="R10" s="124">
        <v>10004</v>
      </c>
      <c r="T10" s="124">
        <v>10364</v>
      </c>
    </row>
    <row r="11" spans="1:20" s="53" customFormat="1" ht="33.75" customHeight="1" x14ac:dyDescent="0.5">
      <c r="A11" s="121" t="s">
        <v>233</v>
      </c>
      <c r="B11" s="122">
        <f>SUM(B9:B10)</f>
        <v>65609</v>
      </c>
      <c r="C11" s="122">
        <f>SUM(C9:C10)</f>
        <v>69344</v>
      </c>
      <c r="D11" s="122">
        <f>SUM(D9:D10)</f>
        <v>69973</v>
      </c>
      <c r="E11" s="122">
        <f>SUM(E9:E10)</f>
        <v>70599</v>
      </c>
      <c r="F11" s="170"/>
      <c r="G11" s="122">
        <f>SUM(G9:G10)</f>
        <v>68827</v>
      </c>
      <c r="H11" s="170"/>
      <c r="I11" s="122">
        <f>SUM(I9:I10)</f>
        <v>75692</v>
      </c>
      <c r="J11" s="122">
        <f>SUM(J9:J10)</f>
        <v>75878</v>
      </c>
      <c r="K11" s="122">
        <f>SUM(K9:K10)</f>
        <v>75806</v>
      </c>
      <c r="L11" s="122">
        <f>SUM(L9:L10)</f>
        <v>76573</v>
      </c>
      <c r="M11" s="170"/>
      <c r="N11" s="122">
        <f>SUM(N9:N10)</f>
        <v>76010</v>
      </c>
      <c r="O11" s="170"/>
      <c r="P11" s="122">
        <f>SUM(P9:P10)</f>
        <v>66202</v>
      </c>
      <c r="Q11" s="122">
        <f>SUM(Q9:Q10)</f>
        <v>75314</v>
      </c>
      <c r="R11" s="122">
        <f>SUM(R9:R10)</f>
        <v>75587</v>
      </c>
      <c r="T11" s="122">
        <f>SUM(T9:T10)</f>
        <v>75525</v>
      </c>
    </row>
    <row r="12" spans="1:20" s="97" customFormat="1" ht="16.5" x14ac:dyDescent="0.45">
      <c r="A12" s="119"/>
      <c r="B12" s="120"/>
      <c r="C12" s="120"/>
      <c r="D12" s="120"/>
      <c r="E12" s="120"/>
      <c r="F12" s="169"/>
      <c r="G12" s="120"/>
      <c r="H12" s="169"/>
      <c r="I12" s="120"/>
      <c r="J12" s="120"/>
      <c r="K12" s="120"/>
      <c r="L12" s="120"/>
      <c r="M12" s="169"/>
      <c r="N12" s="120"/>
      <c r="O12" s="169"/>
      <c r="P12" s="120"/>
      <c r="Q12" s="120"/>
      <c r="R12" s="120"/>
      <c r="T12" s="120"/>
    </row>
    <row r="13" spans="1:20" s="58" customFormat="1" ht="4.5" customHeight="1" x14ac:dyDescent="0.45">
      <c r="A13" s="65"/>
    </row>
    <row r="14" spans="1:20" x14ac:dyDescent="0.3">
      <c r="A14" s="45"/>
      <c r="I14" s="44"/>
      <c r="J14" s="44"/>
      <c r="K14" s="44"/>
      <c r="L14" s="44"/>
      <c r="N14" s="44"/>
      <c r="P14" s="44"/>
      <c r="Q14" s="44"/>
      <c r="R14" s="44"/>
      <c r="T14" s="44"/>
    </row>
    <row r="15" spans="1:20" x14ac:dyDescent="0.3">
      <c r="A15" s="103"/>
      <c r="I15" s="44"/>
      <c r="J15" s="44"/>
      <c r="K15" s="44"/>
      <c r="L15" s="44"/>
      <c r="N15" s="44"/>
      <c r="P15" s="44"/>
      <c r="Q15" s="44"/>
      <c r="R15" s="44"/>
      <c r="T15" s="44"/>
    </row>
    <row r="16" spans="1:20" x14ac:dyDescent="0.3">
      <c r="A16" s="44"/>
      <c r="I16" s="44"/>
      <c r="J16" s="44"/>
      <c r="K16" s="44"/>
      <c r="L16" s="44"/>
      <c r="N16" s="44"/>
      <c r="P16" s="44"/>
      <c r="Q16" s="44"/>
      <c r="R16" s="44"/>
      <c r="T16" s="44"/>
    </row>
    <row r="17" s="44" customFormat="1" x14ac:dyDescent="0.3"/>
    <row r="18" s="44" customFormat="1" x14ac:dyDescent="0.3"/>
    <row r="19" s="44" customFormat="1" x14ac:dyDescent="0.3"/>
    <row r="20" s="44" customFormat="1" x14ac:dyDescent="0.3"/>
    <row r="21" s="44" customFormat="1" x14ac:dyDescent="0.3"/>
    <row r="22" s="44" customFormat="1" x14ac:dyDescent="0.3"/>
    <row r="23" s="44" customFormat="1" x14ac:dyDescent="0.3"/>
    <row r="24" s="44" customFormat="1" x14ac:dyDescent="0.3"/>
    <row r="25" s="44" customFormat="1" x14ac:dyDescent="0.3"/>
    <row r="26" s="44" customFormat="1" x14ac:dyDescent="0.3"/>
    <row r="27" s="44" customFormat="1" x14ac:dyDescent="0.3"/>
    <row r="28" s="44" customFormat="1" x14ac:dyDescent="0.3"/>
    <row r="29" s="44" customFormat="1" x14ac:dyDescent="0.3"/>
    <row r="30" s="44" customFormat="1" x14ac:dyDescent="0.3"/>
    <row r="31" s="44" customFormat="1" x14ac:dyDescent="0.3"/>
    <row r="32" s="44" customFormat="1" x14ac:dyDescent="0.3"/>
    <row r="33" s="44" customFormat="1" x14ac:dyDescent="0.3"/>
    <row r="34" s="44" customFormat="1" x14ac:dyDescent="0.3"/>
    <row r="35" s="44" customFormat="1" x14ac:dyDescent="0.3"/>
    <row r="36" s="44" customFormat="1" x14ac:dyDescent="0.3"/>
    <row r="37" s="44" customFormat="1" x14ac:dyDescent="0.3"/>
    <row r="38" s="44" customFormat="1" x14ac:dyDescent="0.3"/>
    <row r="39" s="44" customFormat="1" x14ac:dyDescent="0.3"/>
    <row r="40" s="44" customFormat="1" x14ac:dyDescent="0.3"/>
    <row r="41" s="44" customFormat="1" x14ac:dyDescent="0.3"/>
    <row r="42" s="44" customFormat="1" x14ac:dyDescent="0.3"/>
    <row r="43" s="44" customFormat="1" x14ac:dyDescent="0.3"/>
    <row r="44" s="44" customFormat="1" x14ac:dyDescent="0.3"/>
    <row r="45" s="44" customFormat="1" x14ac:dyDescent="0.3"/>
    <row r="46" s="44" customFormat="1" x14ac:dyDescent="0.3"/>
    <row r="47" s="44" customFormat="1" x14ac:dyDescent="0.3"/>
    <row r="48" s="44" customFormat="1" x14ac:dyDescent="0.3"/>
    <row r="49" s="44" customFormat="1" x14ac:dyDescent="0.3"/>
    <row r="50" s="44" customFormat="1" x14ac:dyDescent="0.3"/>
    <row r="51" s="44" customFormat="1" x14ac:dyDescent="0.3"/>
    <row r="52" s="44" customFormat="1" x14ac:dyDescent="0.3"/>
    <row r="53" s="44" customFormat="1" x14ac:dyDescent="0.3"/>
    <row r="54" s="44" customFormat="1" x14ac:dyDescent="0.3"/>
    <row r="55" s="44" customFormat="1" x14ac:dyDescent="0.3"/>
    <row r="56" s="44" customFormat="1" x14ac:dyDescent="0.3"/>
    <row r="57" s="44" customFormat="1" x14ac:dyDescent="0.3"/>
    <row r="58" s="44" customFormat="1" x14ac:dyDescent="0.3"/>
    <row r="59" s="44" customFormat="1" x14ac:dyDescent="0.3"/>
    <row r="60" s="44" customFormat="1" x14ac:dyDescent="0.3"/>
    <row r="61" s="44" customFormat="1" x14ac:dyDescent="0.3"/>
    <row r="62" s="44" customFormat="1" x14ac:dyDescent="0.3"/>
    <row r="63" s="44" customFormat="1" x14ac:dyDescent="0.3"/>
    <row r="64" s="44" customFormat="1" x14ac:dyDescent="0.3"/>
    <row r="65" s="44" customFormat="1" x14ac:dyDescent="0.3"/>
    <row r="66" s="44" customFormat="1" x14ac:dyDescent="0.3"/>
    <row r="67" s="44" customFormat="1" x14ac:dyDescent="0.3"/>
    <row r="68" s="44" customFormat="1" x14ac:dyDescent="0.3"/>
    <row r="69" s="44" customFormat="1" x14ac:dyDescent="0.3"/>
    <row r="70" s="44" customFormat="1" x14ac:dyDescent="0.3"/>
    <row r="71" s="44" customFormat="1" x14ac:dyDescent="0.3"/>
    <row r="72" s="44" customFormat="1" x14ac:dyDescent="0.3"/>
    <row r="73" s="44" customFormat="1" x14ac:dyDescent="0.3"/>
    <row r="74" s="44" customFormat="1" x14ac:dyDescent="0.3"/>
    <row r="75" s="44" customFormat="1" x14ac:dyDescent="0.3"/>
    <row r="76" s="44" customFormat="1" x14ac:dyDescent="0.3"/>
    <row r="77" s="44" customFormat="1" x14ac:dyDescent="0.3"/>
    <row r="78" s="44" customFormat="1" x14ac:dyDescent="0.3"/>
    <row r="79" s="44" customFormat="1" x14ac:dyDescent="0.3"/>
    <row r="80" s="44" customFormat="1" x14ac:dyDescent="0.3"/>
    <row r="81" s="44" customFormat="1" x14ac:dyDescent="0.3"/>
    <row r="82" s="44" customFormat="1" x14ac:dyDescent="0.3"/>
    <row r="83" s="44" customFormat="1" x14ac:dyDescent="0.3"/>
    <row r="84" s="44" customFormat="1" x14ac:dyDescent="0.3"/>
    <row r="85" s="44" customFormat="1" x14ac:dyDescent="0.3"/>
    <row r="86" s="44" customFormat="1" x14ac:dyDescent="0.3"/>
    <row r="87" s="44" customFormat="1" x14ac:dyDescent="0.3"/>
    <row r="88" s="44" customFormat="1" x14ac:dyDescent="0.3"/>
    <row r="89" s="44" customFormat="1" x14ac:dyDescent="0.3"/>
    <row r="90" s="44" customFormat="1" x14ac:dyDescent="0.3"/>
    <row r="91" s="44" customFormat="1" x14ac:dyDescent="0.3"/>
    <row r="92" s="44" customFormat="1" x14ac:dyDescent="0.3"/>
    <row r="93" s="44" customFormat="1" x14ac:dyDescent="0.3"/>
    <row r="94" s="44" customFormat="1" x14ac:dyDescent="0.3"/>
    <row r="95" s="44" customFormat="1" x14ac:dyDescent="0.3"/>
    <row r="96" s="44" customFormat="1" x14ac:dyDescent="0.3"/>
    <row r="97" s="44" customFormat="1" x14ac:dyDescent="0.3"/>
    <row r="98" s="44" customFormat="1" x14ac:dyDescent="0.3"/>
    <row r="99" s="44" customFormat="1" x14ac:dyDescent="0.3"/>
    <row r="100" s="44" customFormat="1" x14ac:dyDescent="0.3"/>
    <row r="101" s="44" customFormat="1" x14ac:dyDescent="0.3"/>
    <row r="102" s="44" customFormat="1" x14ac:dyDescent="0.3"/>
    <row r="103" s="44" customFormat="1" x14ac:dyDescent="0.3"/>
    <row r="104" s="44" customFormat="1" x14ac:dyDescent="0.3"/>
    <row r="105" s="44" customFormat="1" x14ac:dyDescent="0.3"/>
    <row r="106" s="44" customFormat="1" x14ac:dyDescent="0.3"/>
    <row r="107" s="44" customFormat="1" x14ac:dyDescent="0.3"/>
    <row r="108" s="44" customFormat="1" x14ac:dyDescent="0.3"/>
    <row r="109" s="44" customFormat="1" x14ac:dyDescent="0.3"/>
    <row r="110" s="44" customFormat="1" x14ac:dyDescent="0.3"/>
    <row r="111" s="44" customFormat="1" x14ac:dyDescent="0.3"/>
    <row r="112" s="44" customFormat="1" x14ac:dyDescent="0.3"/>
    <row r="113" s="44" customFormat="1" x14ac:dyDescent="0.3"/>
    <row r="114" s="44" customFormat="1" x14ac:dyDescent="0.3"/>
    <row r="115" s="44" customFormat="1" x14ac:dyDescent="0.3"/>
    <row r="116" s="44" customFormat="1" x14ac:dyDescent="0.3"/>
    <row r="117" s="44" customFormat="1" x14ac:dyDescent="0.3"/>
    <row r="118" s="44" customFormat="1" x14ac:dyDescent="0.3"/>
    <row r="119" s="44" customFormat="1" x14ac:dyDescent="0.3"/>
    <row r="120" s="44" customFormat="1" x14ac:dyDescent="0.3"/>
    <row r="121" s="44" customFormat="1" x14ac:dyDescent="0.3"/>
    <row r="122" s="44" customFormat="1" x14ac:dyDescent="0.3"/>
    <row r="123" s="44" customFormat="1" x14ac:dyDescent="0.3"/>
    <row r="124" s="44" customFormat="1" x14ac:dyDescent="0.3"/>
    <row r="125" s="44" customFormat="1" x14ac:dyDescent="0.3"/>
    <row r="126" s="44" customFormat="1" x14ac:dyDescent="0.3"/>
    <row r="127" s="44" customFormat="1" x14ac:dyDescent="0.3"/>
    <row r="128" s="44" customFormat="1" x14ac:dyDescent="0.3"/>
  </sheetData>
  <mergeCells count="3">
    <mergeCell ref="I3:L3"/>
    <mergeCell ref="B3:E3"/>
    <mergeCell ref="P3:R3"/>
  </mergeCells>
  <pageMargins left="0.25" right="0.25" top="0.75" bottom="0.75" header="0.3" footer="0.3"/>
  <pageSetup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20353-BDC3-4F18-8DAA-1428C81DC1CD}">
  <sheetPr>
    <tabColor rgb="FF0079FF"/>
    <pageSetUpPr fitToPage="1"/>
  </sheetPr>
  <dimension ref="A1:I22"/>
  <sheetViews>
    <sheetView zoomScale="65" zoomScaleNormal="65" zoomScaleSheetLayoutView="100" workbookViewId="0">
      <pane xSplit="1" ySplit="4" topLeftCell="B5" activePane="bottomRight" state="frozen"/>
      <selection activeCell="C39" sqref="C39"/>
      <selection pane="topRight" activeCell="C39" sqref="C39"/>
      <selection pane="bottomLeft" activeCell="C39" sqref="C39"/>
      <selection pane="bottomRight" activeCell="B5" sqref="B5"/>
    </sheetView>
  </sheetViews>
  <sheetFormatPr defaultColWidth="9.1328125" defaultRowHeight="12.75" x14ac:dyDescent="0.35"/>
  <cols>
    <col min="1" max="1" width="128.73046875" style="125" bestFit="1" customWidth="1"/>
    <col min="2" max="9" width="20.73046875" style="125" customWidth="1"/>
    <col min="10" max="16384" width="9.1328125" style="125"/>
  </cols>
  <sheetData>
    <row r="1" spans="1:9" ht="17.649999999999999" x14ac:dyDescent="0.5">
      <c r="A1" s="101" t="s">
        <v>125</v>
      </c>
    </row>
    <row r="2" spans="1:9" s="44" customFormat="1" ht="10.15" x14ac:dyDescent="0.3">
      <c r="A2" s="45"/>
    </row>
    <row r="3" spans="1:9" s="7" customFormat="1" ht="30" customHeight="1" x14ac:dyDescent="0.4">
      <c r="A3" s="46"/>
      <c r="B3" s="47" t="s">
        <v>126</v>
      </c>
      <c r="C3" s="47" t="s">
        <v>126</v>
      </c>
      <c r="D3" s="47" t="s">
        <v>126</v>
      </c>
      <c r="E3" s="47" t="s">
        <v>126</v>
      </c>
      <c r="F3" s="47" t="s">
        <v>126</v>
      </c>
      <c r="G3" s="47" t="s">
        <v>126</v>
      </c>
      <c r="H3" s="47" t="s">
        <v>126</v>
      </c>
      <c r="I3" s="47" t="s">
        <v>126</v>
      </c>
    </row>
    <row r="4" spans="1:9" s="7" customFormat="1" ht="30" customHeight="1" x14ac:dyDescent="0.4">
      <c r="A4" s="48" t="s">
        <v>13</v>
      </c>
      <c r="B4" s="49" t="s">
        <v>44</v>
      </c>
      <c r="C4" s="49" t="s">
        <v>103</v>
      </c>
      <c r="D4" s="49" t="s">
        <v>230</v>
      </c>
      <c r="E4" s="49" t="s">
        <v>242</v>
      </c>
      <c r="F4" s="49" t="s">
        <v>246</v>
      </c>
      <c r="G4" s="49" t="s">
        <v>267</v>
      </c>
      <c r="H4" s="49" t="s">
        <v>277</v>
      </c>
      <c r="I4" s="49" t="s">
        <v>288</v>
      </c>
    </row>
    <row r="5" spans="1:9" s="58" customFormat="1" ht="16.899999999999999" x14ac:dyDescent="0.5">
      <c r="A5" s="51"/>
      <c r="B5" s="62"/>
      <c r="C5" s="62"/>
      <c r="D5" s="62"/>
      <c r="E5" s="62"/>
      <c r="F5" s="62"/>
      <c r="G5" s="62"/>
      <c r="H5" s="62"/>
      <c r="I5" s="62"/>
    </row>
    <row r="6" spans="1:9" s="58" customFormat="1" ht="16.5" x14ac:dyDescent="0.45">
      <c r="A6" s="126" t="s">
        <v>127</v>
      </c>
      <c r="B6" s="78">
        <v>386.71300000000002</v>
      </c>
      <c r="C6" s="78">
        <v>386.887</v>
      </c>
      <c r="D6" s="78">
        <v>0</v>
      </c>
      <c r="E6" s="78">
        <v>0</v>
      </c>
      <c r="F6" s="78">
        <v>0</v>
      </c>
      <c r="G6" s="78">
        <v>0</v>
      </c>
      <c r="H6" s="78">
        <v>0</v>
      </c>
      <c r="I6" s="78">
        <v>0</v>
      </c>
    </row>
    <row r="7" spans="1:9" s="58" customFormat="1" ht="16.5" x14ac:dyDescent="0.45">
      <c r="A7" s="126" t="s">
        <v>128</v>
      </c>
      <c r="B7" s="127">
        <v>402.78100000000001</v>
      </c>
      <c r="C7" s="127">
        <v>405.61399999999998</v>
      </c>
      <c r="D7" s="127">
        <v>405.87299999999999</v>
      </c>
      <c r="E7" s="127">
        <v>406.411</v>
      </c>
      <c r="F7" s="127">
        <v>406.95400000000001</v>
      </c>
      <c r="G7" s="127">
        <v>407.40199999999999</v>
      </c>
      <c r="H7" s="127">
        <v>407.81599999999997</v>
      </c>
      <c r="I7" s="127">
        <v>408.36099999999999</v>
      </c>
    </row>
    <row r="8" spans="1:9" s="58" customFormat="1" ht="16.5" x14ac:dyDescent="0.45">
      <c r="A8" s="65" t="s">
        <v>129</v>
      </c>
      <c r="B8" s="128">
        <v>7.5179999999999998</v>
      </c>
      <c r="C8" s="128">
        <v>9.3859999999999992</v>
      </c>
      <c r="D8" s="128">
        <v>9.1270000000000007</v>
      </c>
      <c r="E8" s="128">
        <v>8.5890000000000004</v>
      </c>
      <c r="F8" s="128">
        <v>8.0459999999999994</v>
      </c>
      <c r="G8" s="128">
        <v>7.5979999999999999</v>
      </c>
      <c r="H8" s="128">
        <v>7.1840000000000002</v>
      </c>
      <c r="I8" s="128">
        <v>6.6390000000000002</v>
      </c>
    </row>
    <row r="9" spans="1:9" s="53" customFormat="1" ht="16.899999999999999" x14ac:dyDescent="0.5">
      <c r="A9" s="66" t="s">
        <v>130</v>
      </c>
      <c r="B9" s="129">
        <f t="shared" ref="B9" si="0">SUM(B6:B8)</f>
        <v>797.01200000000006</v>
      </c>
      <c r="C9" s="129">
        <f t="shared" ref="C9:D9" si="1">SUM(C6:C8)</f>
        <v>801.88699999999994</v>
      </c>
      <c r="D9" s="129">
        <f t="shared" si="1"/>
        <v>415</v>
      </c>
      <c r="E9" s="129">
        <f t="shared" ref="E9:F9" si="2">SUM(E6:E8)</f>
        <v>415</v>
      </c>
      <c r="F9" s="129">
        <f t="shared" si="2"/>
        <v>415</v>
      </c>
      <c r="G9" s="129">
        <f t="shared" ref="G9:H9" si="3">SUM(G6:G8)</f>
        <v>415</v>
      </c>
      <c r="H9" s="129">
        <f t="shared" si="3"/>
        <v>415</v>
      </c>
      <c r="I9" s="129">
        <f t="shared" ref="I9" si="4">SUM(I6:I8)</f>
        <v>415</v>
      </c>
    </row>
    <row r="10" spans="1:9" s="58" customFormat="1" ht="16.5" x14ac:dyDescent="0.45">
      <c r="A10" s="126" t="s">
        <v>131</v>
      </c>
      <c r="B10" s="86"/>
      <c r="C10" s="86"/>
      <c r="D10" s="86"/>
      <c r="E10" s="86"/>
      <c r="F10" s="86"/>
      <c r="G10" s="86"/>
      <c r="H10" s="86"/>
      <c r="I10" s="86"/>
    </row>
    <row r="11" spans="1:9" s="58" customFormat="1" ht="16.5" x14ac:dyDescent="0.45">
      <c r="A11" s="126" t="s">
        <v>132</v>
      </c>
      <c r="B11" s="127">
        <v>585.27300000000002</v>
      </c>
      <c r="C11" s="127">
        <v>359.41800000000001</v>
      </c>
      <c r="D11" s="127">
        <v>320.43900000000002</v>
      </c>
      <c r="E11" s="127">
        <v>307.84699999999998</v>
      </c>
      <c r="F11" s="127">
        <v>358.80500000000001</v>
      </c>
      <c r="G11" s="127">
        <v>285.04599999999999</v>
      </c>
      <c r="H11" s="127">
        <v>256.50200000000001</v>
      </c>
      <c r="I11" s="127">
        <v>252.07300000000001</v>
      </c>
    </row>
    <row r="12" spans="1:9" s="58" customFormat="1" ht="16.5" x14ac:dyDescent="0.45">
      <c r="A12" s="126" t="s">
        <v>133</v>
      </c>
      <c r="B12" s="127">
        <v>1.4999999999999999E-2</v>
      </c>
      <c r="C12" s="127">
        <v>389.79500000000002</v>
      </c>
      <c r="D12" s="127">
        <v>1.4E-2</v>
      </c>
      <c r="E12" s="127">
        <v>6.0000000000000001E-3</v>
      </c>
      <c r="F12" s="127">
        <v>6.0000000000000001E-3</v>
      </c>
      <c r="G12" s="127">
        <v>2.3E-2</v>
      </c>
      <c r="H12" s="127">
        <v>2.3E-2</v>
      </c>
      <c r="I12" s="127">
        <v>0.28999999999999998</v>
      </c>
    </row>
    <row r="13" spans="1:9" s="58" customFormat="1" ht="16.5" x14ac:dyDescent="0.45">
      <c r="A13" s="65" t="s">
        <v>134</v>
      </c>
      <c r="B13" s="127">
        <v>46.3</v>
      </c>
      <c r="C13" s="127">
        <v>0.66800000000000004</v>
      </c>
      <c r="D13" s="127">
        <v>0.66600000000000004</v>
      </c>
      <c r="E13" s="127">
        <v>0.66100000000000003</v>
      </c>
      <c r="F13" s="127">
        <v>0.76500000000000001</v>
      </c>
      <c r="G13" s="127">
        <v>0.745</v>
      </c>
      <c r="H13" s="127">
        <v>0.71799999999999997</v>
      </c>
      <c r="I13" s="127">
        <v>10.651</v>
      </c>
    </row>
    <row r="14" spans="1:9" s="58" customFormat="1" ht="16.5" x14ac:dyDescent="0.45">
      <c r="A14" s="65" t="s">
        <v>135</v>
      </c>
      <c r="B14" s="128">
        <v>0.65100000000000002</v>
      </c>
      <c r="C14" s="128">
        <v>0.48299999999999998</v>
      </c>
      <c r="D14" s="128">
        <v>0.44600000000000001</v>
      </c>
      <c r="E14" s="128">
        <v>0.49199999999999999</v>
      </c>
      <c r="F14" s="128">
        <v>0.40899999999999997</v>
      </c>
      <c r="G14" s="128">
        <v>0.38700000000000001</v>
      </c>
      <c r="H14" s="128">
        <v>0.38300000000000001</v>
      </c>
      <c r="I14" s="128">
        <v>0.26600000000000001</v>
      </c>
    </row>
    <row r="15" spans="1:9" s="53" customFormat="1" ht="16.899999999999999" x14ac:dyDescent="0.5">
      <c r="A15" s="130" t="s">
        <v>136</v>
      </c>
      <c r="B15" s="237">
        <f t="shared" ref="B15:G15" si="5">+B9-SUM(B11:B14)</f>
        <v>164.77300000000014</v>
      </c>
      <c r="C15" s="237">
        <f t="shared" si="5"/>
        <v>51.523000000000025</v>
      </c>
      <c r="D15" s="237">
        <f t="shared" si="5"/>
        <v>93.434999999999945</v>
      </c>
      <c r="E15" s="237">
        <f t="shared" si="5"/>
        <v>105.99400000000003</v>
      </c>
      <c r="F15" s="237">
        <f t="shared" si="5"/>
        <v>55.015000000000043</v>
      </c>
      <c r="G15" s="237">
        <f t="shared" si="5"/>
        <v>128.79899999999998</v>
      </c>
      <c r="H15" s="237">
        <f t="shared" ref="H15:I15" si="6">+H9-SUM(H11:H14)</f>
        <v>157.37399999999997</v>
      </c>
      <c r="I15" s="237">
        <f t="shared" si="6"/>
        <v>151.71999999999997</v>
      </c>
    </row>
    <row r="20" spans="2:9" s="131" customFormat="1" x14ac:dyDescent="0.35">
      <c r="B20" s="132"/>
      <c r="C20" s="132"/>
      <c r="D20" s="132"/>
      <c r="E20" s="132"/>
      <c r="F20" s="132"/>
      <c r="G20" s="132"/>
      <c r="H20" s="132"/>
      <c r="I20" s="132"/>
    </row>
    <row r="21" spans="2:9" s="133" customFormat="1" x14ac:dyDescent="0.35"/>
    <row r="22" spans="2:9" s="131" customFormat="1" x14ac:dyDescent="0.35"/>
  </sheetData>
  <pageMargins left="0.25" right="0.25" top="0.75" bottom="0.75" header="0.3" footer="0.3"/>
  <pageSetup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AC8B-E4D9-4DBE-9B08-1BF1DAFCD7DF}">
  <sheetPr>
    <tabColor rgb="FF0079FF"/>
    <pageSetUpPr fitToPage="1"/>
  </sheetPr>
  <dimension ref="A2:C25"/>
  <sheetViews>
    <sheetView zoomScale="65" zoomScaleNormal="65" zoomScaleSheetLayoutView="70" workbookViewId="0"/>
  </sheetViews>
  <sheetFormatPr defaultColWidth="9.1328125" defaultRowHeight="16.5" x14ac:dyDescent="0.45"/>
  <cols>
    <col min="1" max="1" width="9.1328125" style="58"/>
    <col min="2" max="2" width="5.73046875" style="58" customWidth="1"/>
    <col min="3" max="3" width="255.73046875" style="58" bestFit="1" customWidth="1"/>
    <col min="4" max="4" width="13.86328125" style="58" customWidth="1"/>
    <col min="5" max="16384" width="9.1328125" style="58"/>
  </cols>
  <sheetData>
    <row r="2" spans="1:3" ht="17.649999999999999" x14ac:dyDescent="0.5">
      <c r="C2" s="95" t="s">
        <v>7</v>
      </c>
    </row>
    <row r="3" spans="1:3" ht="16.899999999999999" x14ac:dyDescent="0.5">
      <c r="C3" s="71"/>
    </row>
    <row r="4" spans="1:3" x14ac:dyDescent="0.45">
      <c r="C4" s="58" t="s">
        <v>92</v>
      </c>
    </row>
    <row r="6" spans="1:3" s="97" customFormat="1" x14ac:dyDescent="0.45">
      <c r="B6" s="96"/>
      <c r="C6" s="98"/>
    </row>
    <row r="7" spans="1:3" s="97" customFormat="1" ht="33" x14ac:dyDescent="0.45">
      <c r="B7" s="99" t="s">
        <v>197</v>
      </c>
      <c r="C7" s="96" t="s">
        <v>93</v>
      </c>
    </row>
    <row r="8" spans="1:3" s="97" customFormat="1" x14ac:dyDescent="0.45">
      <c r="B8" s="96"/>
    </row>
    <row r="9" spans="1:3" s="97" customFormat="1" x14ac:dyDescent="0.45">
      <c r="B9" s="99" t="s">
        <v>198</v>
      </c>
      <c r="C9" s="58" t="s">
        <v>248</v>
      </c>
    </row>
    <row r="10" spans="1:3" s="97" customFormat="1" x14ac:dyDescent="0.45"/>
    <row r="11" spans="1:3" x14ac:dyDescent="0.45">
      <c r="B11" s="99" t="s">
        <v>199</v>
      </c>
      <c r="C11" s="96" t="s">
        <v>200</v>
      </c>
    </row>
    <row r="13" spans="1:3" s="97" customFormat="1" x14ac:dyDescent="0.45">
      <c r="B13" s="99" t="s">
        <v>232</v>
      </c>
      <c r="C13" s="96" t="s">
        <v>235</v>
      </c>
    </row>
    <row r="14" spans="1:3" x14ac:dyDescent="0.45">
      <c r="B14" s="99"/>
    </row>
    <row r="15" spans="1:3" x14ac:dyDescent="0.45">
      <c r="A15" s="97"/>
      <c r="B15" s="99" t="s">
        <v>265</v>
      </c>
      <c r="C15" s="96" t="s">
        <v>266</v>
      </c>
    </row>
    <row r="17" spans="2:3" x14ac:dyDescent="0.45">
      <c r="B17" s="99" t="s">
        <v>293</v>
      </c>
      <c r="C17" s="96" t="s">
        <v>296</v>
      </c>
    </row>
    <row r="19" spans="2:3" x14ac:dyDescent="0.45">
      <c r="B19" s="99"/>
    </row>
    <row r="21" spans="2:3" x14ac:dyDescent="0.45">
      <c r="B21" s="99"/>
    </row>
    <row r="23" spans="2:3" x14ac:dyDescent="0.45">
      <c r="B23" s="99"/>
      <c r="C23" s="41"/>
    </row>
    <row r="25" spans="2:3" x14ac:dyDescent="0.45">
      <c r="B25" s="99"/>
      <c r="C25" s="41"/>
    </row>
  </sheetData>
  <pageMargins left="0.25" right="0.25" top="0.75" bottom="0.75" header="0.3" footer="0.3"/>
  <pageSetup scale="48" orientation="landscape" r:id="rId1"/>
  <ignoredErrors>
    <ignoredError sqref="B7 B9 B11"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4BE7-D3C1-4539-A90C-6EB07B3130F3}">
  <sheetPr>
    <tabColor rgb="FF0079FF"/>
    <pageSetUpPr fitToPage="1"/>
  </sheetPr>
  <dimension ref="B1:H50"/>
  <sheetViews>
    <sheetView zoomScale="70" zoomScaleNormal="70" zoomScaleSheetLayoutView="70" workbookViewId="0"/>
  </sheetViews>
  <sheetFormatPr defaultColWidth="9.1328125" defaultRowHeight="16.5" x14ac:dyDescent="0.45"/>
  <cols>
    <col min="1" max="1" width="9.1328125" style="58"/>
    <col min="2" max="2" width="196.73046875" style="246" customWidth="1"/>
    <col min="3" max="3" width="134.86328125" style="58" customWidth="1"/>
    <col min="4" max="16384" width="9.1328125" style="58"/>
  </cols>
  <sheetData>
    <row r="1" spans="2:8" ht="17.649999999999999" x14ac:dyDescent="0.5">
      <c r="B1" s="244" t="s">
        <v>201</v>
      </c>
      <c r="C1" s="100"/>
      <c r="D1" s="100"/>
      <c r="E1" s="100"/>
      <c r="F1" s="100"/>
      <c r="G1" s="100"/>
      <c r="H1" s="100"/>
    </row>
    <row r="3" spans="2:8" ht="159" customHeight="1" x14ac:dyDescent="0.45">
      <c r="B3" s="243" t="s">
        <v>292</v>
      </c>
    </row>
    <row r="4" spans="2:8" ht="33" x14ac:dyDescent="0.45">
      <c r="B4" s="243" t="s">
        <v>94</v>
      </c>
    </row>
    <row r="5" spans="2:8" ht="33" x14ac:dyDescent="0.45">
      <c r="B5" s="243" t="s">
        <v>252</v>
      </c>
    </row>
    <row r="6" spans="2:8" x14ac:dyDescent="0.45">
      <c r="B6" s="243" t="s">
        <v>253</v>
      </c>
    </row>
    <row r="7" spans="2:8" ht="33" x14ac:dyDescent="0.45">
      <c r="B7" s="243" t="s">
        <v>254</v>
      </c>
    </row>
    <row r="8" spans="2:8" x14ac:dyDescent="0.45">
      <c r="B8" s="243" t="s">
        <v>95</v>
      </c>
    </row>
    <row r="9" spans="2:8" ht="93.75" customHeight="1" x14ac:dyDescent="0.45">
      <c r="B9" s="243" t="s">
        <v>281</v>
      </c>
    </row>
    <row r="11" spans="2:8" x14ac:dyDescent="0.45">
      <c r="B11" s="243" t="s">
        <v>96</v>
      </c>
    </row>
    <row r="12" spans="2:8" ht="82.5" x14ac:dyDescent="0.45">
      <c r="B12" s="243" t="s">
        <v>255</v>
      </c>
    </row>
    <row r="13" spans="2:8" ht="66" x14ac:dyDescent="0.45">
      <c r="B13" s="243" t="s">
        <v>256</v>
      </c>
    </row>
    <row r="14" spans="2:8" ht="99" x14ac:dyDescent="0.45">
      <c r="B14" s="243" t="s">
        <v>273</v>
      </c>
    </row>
    <row r="15" spans="2:8" ht="82.5" x14ac:dyDescent="0.45">
      <c r="B15" s="243" t="s">
        <v>257</v>
      </c>
    </row>
    <row r="16" spans="2:8" ht="132" x14ac:dyDescent="0.45">
      <c r="B16" s="243" t="s">
        <v>258</v>
      </c>
    </row>
    <row r="17" spans="2:2" ht="39.75" customHeight="1" x14ac:dyDescent="0.45">
      <c r="B17" s="243" t="s">
        <v>259</v>
      </c>
    </row>
    <row r="18" spans="2:2" ht="166.5" customHeight="1" x14ac:dyDescent="0.45">
      <c r="B18" s="243" t="s">
        <v>274</v>
      </c>
    </row>
    <row r="19" spans="2:2" ht="97.5" customHeight="1" x14ac:dyDescent="0.45">
      <c r="B19" s="243" t="s">
        <v>260</v>
      </c>
    </row>
    <row r="20" spans="2:2" ht="66" x14ac:dyDescent="0.45">
      <c r="B20" s="243" t="s">
        <v>280</v>
      </c>
    </row>
    <row r="21" spans="2:2" ht="117.75" customHeight="1" x14ac:dyDescent="0.45">
      <c r="B21" s="245" t="s">
        <v>298</v>
      </c>
    </row>
    <row r="22" spans="2:2" ht="49.5" x14ac:dyDescent="0.45">
      <c r="B22" s="243" t="s">
        <v>276</v>
      </c>
    </row>
    <row r="23" spans="2:2" ht="54.75" customHeight="1" x14ac:dyDescent="0.45">
      <c r="B23" s="243" t="s">
        <v>297</v>
      </c>
    </row>
    <row r="24" spans="2:2" ht="68.25" customHeight="1" x14ac:dyDescent="0.45">
      <c r="B24" s="243" t="s">
        <v>294</v>
      </c>
    </row>
    <row r="25" spans="2:2" ht="55.5" customHeight="1" x14ac:dyDescent="0.45">
      <c r="B25" s="245" t="s">
        <v>261</v>
      </c>
    </row>
    <row r="26" spans="2:2" ht="62.25" customHeight="1" x14ac:dyDescent="0.45">
      <c r="B26" s="245" t="s">
        <v>262</v>
      </c>
    </row>
    <row r="27" spans="2:2" ht="8.25" customHeight="1" x14ac:dyDescent="0.45"/>
    <row r="28" spans="2:2" ht="8.25" customHeight="1" x14ac:dyDescent="0.45"/>
    <row r="29" spans="2:2" ht="132" x14ac:dyDescent="0.45">
      <c r="B29" s="243" t="s">
        <v>275</v>
      </c>
    </row>
    <row r="30" spans="2:2" x14ac:dyDescent="0.45">
      <c r="B30" s="243"/>
    </row>
    <row r="31" spans="2:2" ht="16.899999999999999" x14ac:dyDescent="0.45">
      <c r="B31" s="21" t="s">
        <v>217</v>
      </c>
    </row>
    <row r="32" spans="2:2" ht="31.5" customHeight="1" x14ac:dyDescent="0.45">
      <c r="B32" s="243" t="s">
        <v>222</v>
      </c>
    </row>
    <row r="33" spans="2:2" ht="39" customHeight="1" x14ac:dyDescent="0.45">
      <c r="B33" s="246" t="s">
        <v>299</v>
      </c>
    </row>
    <row r="34" spans="2:2" ht="49.5" customHeight="1" x14ac:dyDescent="0.45">
      <c r="B34" s="243" t="s">
        <v>97</v>
      </c>
    </row>
    <row r="35" spans="2:2" x14ac:dyDescent="0.45">
      <c r="B35" s="243"/>
    </row>
    <row r="36" spans="2:2" ht="33" x14ac:dyDescent="0.45">
      <c r="B36" s="243" t="s">
        <v>98</v>
      </c>
    </row>
    <row r="37" spans="2:2" ht="35.25" customHeight="1" x14ac:dyDescent="0.45">
      <c r="B37" s="243" t="s">
        <v>272</v>
      </c>
    </row>
    <row r="38" spans="2:2" ht="29.25" customHeight="1" x14ac:dyDescent="0.45">
      <c r="B38" s="243" t="s">
        <v>263</v>
      </c>
    </row>
    <row r="39" spans="2:2" ht="54" customHeight="1" x14ac:dyDescent="0.45">
      <c r="B39" s="243" t="s">
        <v>99</v>
      </c>
    </row>
    <row r="40" spans="2:2" x14ac:dyDescent="0.45">
      <c r="B40" s="243"/>
    </row>
    <row r="41" spans="2:2" ht="82.5" x14ac:dyDescent="0.45">
      <c r="B41" s="243" t="s">
        <v>304</v>
      </c>
    </row>
    <row r="42" spans="2:2" x14ac:dyDescent="0.45">
      <c r="B42" s="243"/>
    </row>
    <row r="43" spans="2:2" ht="16.899999999999999" x14ac:dyDescent="0.45">
      <c r="B43" s="21" t="s">
        <v>100</v>
      </c>
    </row>
    <row r="44" spans="2:2" ht="82.5" x14ac:dyDescent="0.45">
      <c r="B44" s="243" t="s">
        <v>300</v>
      </c>
    </row>
    <row r="45" spans="2:2" x14ac:dyDescent="0.45">
      <c r="B45" s="243"/>
    </row>
    <row r="46" spans="2:2" ht="16.899999999999999" x14ac:dyDescent="0.45">
      <c r="B46" s="21" t="s">
        <v>101</v>
      </c>
    </row>
    <row r="47" spans="2:2" ht="66" x14ac:dyDescent="0.45">
      <c r="B47" s="243" t="s">
        <v>245</v>
      </c>
    </row>
    <row r="49" spans="2:2" ht="16.899999999999999" x14ac:dyDescent="0.45">
      <c r="B49" s="21" t="s">
        <v>102</v>
      </c>
    </row>
    <row r="50" spans="2:2" ht="294" customHeight="1" x14ac:dyDescent="0.45">
      <c r="B50" s="284" t="s">
        <v>291</v>
      </c>
    </row>
  </sheetData>
  <pageMargins left="0.25" right="0.25" top="0.75" bottom="0.75" header="0.3" footer="0.3"/>
  <pageSetup scale="20" orientation="landscape" r:id="rId1"/>
  <rowBreaks count="1" manualBreakCount="1">
    <brk id="16" min="1" max="1" man="1"/>
  </rowBreaks>
  <colBreaks count="1" manualBreakCount="1">
    <brk id="2" max="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7B20A-987F-41B7-8458-1A7812B1F2DE}">
  <sheetPr>
    <tabColor rgb="FF0079FF"/>
    <pageSetUpPr fitToPage="1"/>
  </sheetPr>
  <dimension ref="A1:AQ65"/>
  <sheetViews>
    <sheetView zoomScale="70" zoomScaleNormal="70" zoomScaleSheetLayoutView="85" workbookViewId="0">
      <pane xSplit="3" ySplit="5" topLeftCell="M6" activePane="bottomRight" state="frozen"/>
      <selection activeCell="C39" sqref="C39"/>
      <selection pane="topRight" activeCell="C39" sqref="C39"/>
      <selection pane="bottomLeft" activeCell="C39" sqref="C39"/>
      <selection pane="bottomRight" activeCell="M6" sqref="M6"/>
    </sheetView>
  </sheetViews>
  <sheetFormatPr defaultColWidth="9.1328125" defaultRowHeight="13.5" outlineLevelCol="1" x14ac:dyDescent="0.35"/>
  <cols>
    <col min="1" max="1" width="11.59765625" style="7" customWidth="1"/>
    <col min="2" max="2" width="80.265625" style="7" customWidth="1"/>
    <col min="3" max="3" width="1.73046875" style="7" customWidth="1"/>
    <col min="4" max="4" width="15.73046875" style="7" hidden="1" customWidth="1" outlineLevel="1"/>
    <col min="5" max="5" width="17.86328125" style="7" hidden="1" customWidth="1" outlineLevel="1"/>
    <col min="6" max="6" width="15.73046875" style="7" hidden="1" customWidth="1" outlineLevel="1"/>
    <col min="7" max="11" width="17.86328125" style="7" hidden="1" customWidth="1" outlineLevel="1"/>
    <col min="12" max="12" width="2.1328125" style="7" hidden="1" customWidth="1" outlineLevel="1"/>
    <col min="13" max="13" width="15.73046875" style="7" customWidth="1" collapsed="1"/>
    <col min="14" max="14" width="17.86328125" style="7" customWidth="1"/>
    <col min="15" max="15" width="1.73046875" style="7" customWidth="1"/>
    <col min="16" max="23" width="15.73046875" style="7" hidden="1" customWidth="1" outlineLevel="1"/>
    <col min="24" max="24" width="1.73046875" style="7" hidden="1" customWidth="1" outlineLevel="1"/>
    <col min="25" max="25" width="15.73046875" style="7" customWidth="1" collapsed="1"/>
    <col min="26" max="26" width="17.86328125" style="7" customWidth="1"/>
    <col min="27" max="27" width="1.73046875" style="7" customWidth="1"/>
    <col min="28" max="33" width="16.3984375" style="7" customWidth="1"/>
    <col min="34" max="34" width="1.73046875" style="7" customWidth="1"/>
    <col min="35" max="36" width="16.3984375" style="7" customWidth="1"/>
    <col min="37" max="37" width="3.73046875" style="7" customWidth="1"/>
    <col min="38" max="38" width="45.86328125" style="7" bestFit="1" customWidth="1"/>
    <col min="39" max="16384" width="9.1328125" style="7"/>
  </cols>
  <sheetData>
    <row r="1" spans="1:43" ht="17.649999999999999" x14ac:dyDescent="0.5">
      <c r="A1" s="5" t="s">
        <v>104</v>
      </c>
      <c r="B1" s="6"/>
    </row>
    <row r="2" spans="1:43" ht="13.9" thickBot="1" x14ac:dyDescent="0.4"/>
    <row r="3" spans="1:43" s="8" customFormat="1" ht="15" customHeight="1" thickBot="1" x14ac:dyDescent="0.4">
      <c r="A3" s="301" t="s">
        <v>9</v>
      </c>
      <c r="B3" s="302"/>
      <c r="D3" s="295" t="s">
        <v>11</v>
      </c>
      <c r="E3" s="297"/>
      <c r="F3" s="297"/>
      <c r="G3" s="297"/>
      <c r="H3" s="297"/>
      <c r="I3" s="297"/>
      <c r="J3" s="297"/>
      <c r="K3" s="296"/>
      <c r="L3" s="178"/>
      <c r="M3" s="295" t="s">
        <v>249</v>
      </c>
      <c r="N3" s="296"/>
      <c r="P3" s="295" t="s">
        <v>11</v>
      </c>
      <c r="Q3" s="297"/>
      <c r="R3" s="297"/>
      <c r="S3" s="297"/>
      <c r="T3" s="297"/>
      <c r="U3" s="297"/>
      <c r="V3" s="297"/>
      <c r="W3" s="296"/>
      <c r="Y3" s="295" t="s">
        <v>249</v>
      </c>
      <c r="Z3" s="296"/>
      <c r="AB3" s="295" t="s">
        <v>11</v>
      </c>
      <c r="AC3" s="297"/>
      <c r="AD3" s="297"/>
      <c r="AE3" s="297"/>
      <c r="AF3" s="297"/>
      <c r="AG3" s="296"/>
      <c r="AI3" s="295" t="s">
        <v>290</v>
      </c>
      <c r="AJ3" s="296"/>
      <c r="AL3" s="288" t="s">
        <v>12</v>
      </c>
    </row>
    <row r="4" spans="1:43" s="8" customFormat="1" ht="18.75" customHeight="1" thickBot="1" x14ac:dyDescent="0.4">
      <c r="A4" s="291"/>
      <c r="B4" s="292"/>
      <c r="D4" s="298">
        <v>43951</v>
      </c>
      <c r="E4" s="294"/>
      <c r="F4" s="293">
        <v>44043</v>
      </c>
      <c r="G4" s="294"/>
      <c r="H4" s="293">
        <v>44135</v>
      </c>
      <c r="I4" s="294"/>
      <c r="J4" s="293">
        <v>44227</v>
      </c>
      <c r="K4" s="294"/>
      <c r="L4" s="180"/>
      <c r="M4" s="298">
        <v>44227</v>
      </c>
      <c r="N4" s="294"/>
      <c r="P4" s="293">
        <v>44316</v>
      </c>
      <c r="Q4" s="294"/>
      <c r="R4" s="293">
        <v>44408</v>
      </c>
      <c r="S4" s="294"/>
      <c r="T4" s="293">
        <v>44500</v>
      </c>
      <c r="U4" s="294"/>
      <c r="V4" s="293">
        <v>44592</v>
      </c>
      <c r="W4" s="294"/>
      <c r="Y4" s="298">
        <v>44592</v>
      </c>
      <c r="Z4" s="294"/>
      <c r="AB4" s="293">
        <v>44681</v>
      </c>
      <c r="AC4" s="294"/>
      <c r="AD4" s="293">
        <v>44773</v>
      </c>
      <c r="AE4" s="294"/>
      <c r="AF4" s="293">
        <v>44865</v>
      </c>
      <c r="AG4" s="294"/>
      <c r="AI4" s="293">
        <v>44865</v>
      </c>
      <c r="AJ4" s="294"/>
      <c r="AL4" s="289"/>
      <c r="AM4" s="8" t="s">
        <v>278</v>
      </c>
    </row>
    <row r="5" spans="1:43" s="8" customFormat="1" ht="42" customHeight="1" thickBot="1" x14ac:dyDescent="0.4">
      <c r="A5" s="314" t="s">
        <v>13</v>
      </c>
      <c r="B5" s="315"/>
      <c r="D5" s="185" t="s">
        <v>14</v>
      </c>
      <c r="E5" s="12" t="s">
        <v>15</v>
      </c>
      <c r="F5" s="11" t="s">
        <v>14</v>
      </c>
      <c r="G5" s="186" t="s">
        <v>15</v>
      </c>
      <c r="H5" s="11" t="s">
        <v>14</v>
      </c>
      <c r="I5" s="186" t="s">
        <v>15</v>
      </c>
      <c r="J5" s="11" t="s">
        <v>14</v>
      </c>
      <c r="K5" s="186" t="s">
        <v>15</v>
      </c>
      <c r="L5" s="179"/>
      <c r="M5" s="185" t="s">
        <v>14</v>
      </c>
      <c r="N5" s="186" t="s">
        <v>15</v>
      </c>
      <c r="P5" s="9" t="s">
        <v>14</v>
      </c>
      <c r="Q5" s="10" t="s">
        <v>15</v>
      </c>
      <c r="R5" s="9" t="s">
        <v>14</v>
      </c>
      <c r="S5" s="10" t="s">
        <v>15</v>
      </c>
      <c r="T5" s="9" t="s">
        <v>14</v>
      </c>
      <c r="U5" s="10" t="s">
        <v>15</v>
      </c>
      <c r="V5" s="9" t="s">
        <v>14</v>
      </c>
      <c r="W5" s="10" t="s">
        <v>15</v>
      </c>
      <c r="Y5" s="185" t="s">
        <v>14</v>
      </c>
      <c r="Z5" s="186" t="s">
        <v>15</v>
      </c>
      <c r="AB5" s="9" t="s">
        <v>14</v>
      </c>
      <c r="AC5" s="10" t="s">
        <v>15</v>
      </c>
      <c r="AD5" s="9" t="s">
        <v>14</v>
      </c>
      <c r="AE5" s="10" t="s">
        <v>15</v>
      </c>
      <c r="AF5" s="9" t="s">
        <v>14</v>
      </c>
      <c r="AG5" s="10" t="s">
        <v>15</v>
      </c>
      <c r="AI5" s="9" t="s">
        <v>14</v>
      </c>
      <c r="AJ5" s="10" t="s">
        <v>15</v>
      </c>
      <c r="AL5" s="290"/>
    </row>
    <row r="6" spans="1:43" ht="17.25" thickBot="1" x14ac:dyDescent="0.4">
      <c r="A6" s="307" t="s">
        <v>16</v>
      </c>
      <c r="B6" s="13" t="s">
        <v>17</v>
      </c>
      <c r="D6" s="187">
        <f t="shared" ref="D6:E6" si="0">+D7+D8</f>
        <v>129.07</v>
      </c>
      <c r="E6" s="14">
        <f t="shared" si="0"/>
        <v>132.33199999999999</v>
      </c>
      <c r="F6" s="14">
        <f t="shared" ref="F6:G6" si="1">+F7+F8</f>
        <v>139.267</v>
      </c>
      <c r="G6" s="188">
        <f t="shared" si="1"/>
        <v>142.333</v>
      </c>
      <c r="H6" s="14">
        <f t="shared" ref="H6:I6" si="2">+H7+H8</f>
        <v>150.233</v>
      </c>
      <c r="I6" s="188">
        <f t="shared" si="2"/>
        <v>152.45999999999998</v>
      </c>
      <c r="J6" s="14">
        <f t="shared" ref="J6:K6" si="3">+J7+J8</f>
        <v>157.054</v>
      </c>
      <c r="K6" s="188">
        <f t="shared" si="3"/>
        <v>158.83499999999998</v>
      </c>
      <c r="L6" s="22"/>
      <c r="M6" s="187">
        <f>+M7+M8</f>
        <v>575.62400000000002</v>
      </c>
      <c r="N6" s="188">
        <f t="shared" ref="N6" si="4">+N7+N8</f>
        <v>585.96</v>
      </c>
      <c r="O6" s="15"/>
      <c r="P6" s="14">
        <f t="shared" ref="P6:U6" si="5">+P7+P8</f>
        <v>144.453</v>
      </c>
      <c r="Q6" s="14">
        <f t="shared" si="5"/>
        <v>145.49200000000002</v>
      </c>
      <c r="R6" s="14">
        <f t="shared" si="5"/>
        <v>156.178</v>
      </c>
      <c r="S6" s="14">
        <f t="shared" si="5"/>
        <v>157.191</v>
      </c>
      <c r="T6" s="14">
        <f t="shared" si="5"/>
        <v>158.81100000000001</v>
      </c>
      <c r="U6" s="14">
        <f t="shared" si="5"/>
        <v>160.91899999999998</v>
      </c>
      <c r="V6" s="14">
        <f t="shared" ref="V6:W6" si="6">+V7+V8</f>
        <v>173.68700000000001</v>
      </c>
      <c r="W6" s="14">
        <f t="shared" si="6"/>
        <v>175.69800000000001</v>
      </c>
      <c r="X6" s="15"/>
      <c r="Y6" s="187">
        <f>+Y7+Y8</f>
        <v>633.12900000000002</v>
      </c>
      <c r="Z6" s="188">
        <f t="shared" ref="Z6" si="7">+Z7+Z8</f>
        <v>639.29999999999995</v>
      </c>
      <c r="AA6" s="15"/>
      <c r="AB6" s="14">
        <f t="shared" ref="AB6:AC6" si="8">+AB7+AB8</f>
        <v>159.36699999999999</v>
      </c>
      <c r="AC6" s="14">
        <f t="shared" si="8"/>
        <v>160.70999999999998</v>
      </c>
      <c r="AD6" s="14">
        <f t="shared" ref="AD6:AE6" si="9">+AD7+AD8</f>
        <v>166.44</v>
      </c>
      <c r="AE6" s="14">
        <f t="shared" si="9"/>
        <v>167.172</v>
      </c>
      <c r="AF6" s="14">
        <f t="shared" ref="AF6:AG6" si="10">+AF7+AF8</f>
        <v>174.22200000000001</v>
      </c>
      <c r="AG6" s="14">
        <f t="shared" si="10"/>
        <v>174.64500000000001</v>
      </c>
      <c r="AH6" s="15"/>
      <c r="AI6" s="14">
        <f t="shared" ref="AI6:AJ6" si="11">+AI7+AI8</f>
        <v>500.029</v>
      </c>
      <c r="AJ6" s="14">
        <f t="shared" si="11"/>
        <v>502.52700000000004</v>
      </c>
      <c r="AK6" s="15"/>
      <c r="AL6" s="316" t="s">
        <v>213</v>
      </c>
      <c r="AM6" s="15"/>
      <c r="AN6" s="15"/>
      <c r="AO6" s="15"/>
      <c r="AP6" s="15"/>
      <c r="AQ6" s="15"/>
    </row>
    <row r="7" spans="1:43" ht="17.25" thickBot="1" x14ac:dyDescent="0.4">
      <c r="A7" s="307"/>
      <c r="B7" s="13" t="s">
        <v>18</v>
      </c>
      <c r="C7" s="15"/>
      <c r="D7" s="187">
        <f>+'Revenue Metrics'!C7</f>
        <v>55.019999999999996</v>
      </c>
      <c r="E7" s="14">
        <f>+'Revenue Metrics'!C23</f>
        <v>58.227000000000004</v>
      </c>
      <c r="F7" s="14">
        <f>+'Revenue Metrics'!D7</f>
        <v>62.557000000000002</v>
      </c>
      <c r="G7" s="188">
        <f>+'Revenue Metrics'!D23</f>
        <v>65.575000000000003</v>
      </c>
      <c r="H7" s="14">
        <f>+'Revenue Metrics'!E7</f>
        <v>73.867000000000004</v>
      </c>
      <c r="I7" s="188">
        <f>+'Revenue Metrics'!E23</f>
        <v>76.033999999999992</v>
      </c>
      <c r="J7" s="14">
        <f>+'Revenue Metrics'!F7</f>
        <v>85.966999999999999</v>
      </c>
      <c r="K7" s="188">
        <f>+'Revenue Metrics'!F23</f>
        <v>87.738</v>
      </c>
      <c r="L7" s="22"/>
      <c r="M7" s="187">
        <f>+'Revenue Metrics'!H7</f>
        <v>277.411</v>
      </c>
      <c r="N7" s="188">
        <f>+'Revenue Metrics'!H23</f>
        <v>287.57400000000001</v>
      </c>
      <c r="O7" s="15"/>
      <c r="P7" s="14">
        <f>+'Revenue Metrics'!J7</f>
        <v>80.05</v>
      </c>
      <c r="Q7" s="14">
        <f>+'Revenue Metrics'!J23</f>
        <v>81.081000000000003</v>
      </c>
      <c r="R7" s="14">
        <f>+'Revenue Metrics'!K7</f>
        <v>93.256</v>
      </c>
      <c r="S7" s="14">
        <f>+'Revenue Metrics'!K23</f>
        <v>94.26</v>
      </c>
      <c r="T7" s="14">
        <f>+'Revenue Metrics'!L7</f>
        <v>98.461000000000013</v>
      </c>
      <c r="U7" s="14">
        <f>+'Revenue Metrics'!L23</f>
        <v>100.55799999999999</v>
      </c>
      <c r="V7" s="14">
        <f>+'Revenue Metrics'!M7</f>
        <v>116.64500000000001</v>
      </c>
      <c r="W7" s="14">
        <f>+'Revenue Metrics'!M23</f>
        <v>118.646</v>
      </c>
      <c r="X7" s="15"/>
      <c r="Y7" s="187">
        <f>+'Revenue Metrics'!O7</f>
        <v>388.41200000000003</v>
      </c>
      <c r="Z7" s="188">
        <f>+'Revenue Metrics'!O23</f>
        <v>394.54500000000002</v>
      </c>
      <c r="AA7" s="15"/>
      <c r="AB7" s="14">
        <f>+'Revenue Metrics'!Q7</f>
        <v>110.64299999999999</v>
      </c>
      <c r="AC7" s="14">
        <f>+'Revenue Metrics'!Q23</f>
        <v>111.97199999999999</v>
      </c>
      <c r="AD7" s="14">
        <f>+'Revenue Metrics'!R7</f>
        <v>118.33200000000001</v>
      </c>
      <c r="AE7" s="14">
        <f>+'Revenue Metrics'!R23</f>
        <v>119.06400000000001</v>
      </c>
      <c r="AF7" s="14">
        <f>+'Revenue Metrics'!S7</f>
        <v>131.22300000000001</v>
      </c>
      <c r="AG7" s="14">
        <f>+'Revenue Metrics'!S23</f>
        <v>131.64600000000002</v>
      </c>
      <c r="AH7" s="15"/>
      <c r="AI7" s="14">
        <f>+'Revenue Metrics'!U7</f>
        <v>360.19799999999998</v>
      </c>
      <c r="AJ7" s="14">
        <f>+'Revenue Metrics'!U23</f>
        <v>362.68200000000002</v>
      </c>
      <c r="AK7" s="15"/>
      <c r="AL7" s="316"/>
      <c r="AM7" s="15"/>
      <c r="AN7" s="15"/>
      <c r="AO7" s="15"/>
      <c r="AP7" s="15"/>
      <c r="AQ7" s="15"/>
    </row>
    <row r="8" spans="1:43" ht="17.25" thickBot="1" x14ac:dyDescent="0.4">
      <c r="A8" s="307"/>
      <c r="B8" s="13" t="s">
        <v>19</v>
      </c>
      <c r="C8" s="15"/>
      <c r="D8" s="187">
        <f>+'Revenue Metrics'!C8</f>
        <v>74.05</v>
      </c>
      <c r="E8" s="14">
        <f>+'Revenue Metrics'!C24</f>
        <v>74.105000000000004</v>
      </c>
      <c r="F8" s="14">
        <f>+'Revenue Metrics'!D8</f>
        <v>76.709999999999994</v>
      </c>
      <c r="G8" s="188">
        <f>+'Revenue Metrics'!D24</f>
        <v>76.757999999999996</v>
      </c>
      <c r="H8" s="14">
        <f>+'Revenue Metrics'!E8</f>
        <v>76.366</v>
      </c>
      <c r="I8" s="188">
        <f>+'Revenue Metrics'!E24</f>
        <v>76.426000000000002</v>
      </c>
      <c r="J8" s="14">
        <f>+'Revenue Metrics'!F8</f>
        <v>71.087000000000003</v>
      </c>
      <c r="K8" s="188">
        <f>+'Revenue Metrics'!F24</f>
        <v>71.096999999999994</v>
      </c>
      <c r="L8" s="22"/>
      <c r="M8" s="187">
        <f>+'Revenue Metrics'!H8</f>
        <v>298.21299999999997</v>
      </c>
      <c r="N8" s="188">
        <f>+'Revenue Metrics'!H24</f>
        <v>298.38599999999997</v>
      </c>
      <c r="O8" s="15"/>
      <c r="P8" s="14">
        <f>+'Revenue Metrics'!J8</f>
        <v>64.403000000000006</v>
      </c>
      <c r="Q8" s="14">
        <f>+'Revenue Metrics'!J24</f>
        <v>64.411000000000001</v>
      </c>
      <c r="R8" s="14">
        <f>+'Revenue Metrics'!K8</f>
        <v>62.921999999999997</v>
      </c>
      <c r="S8" s="14">
        <f>+'Revenue Metrics'!K24</f>
        <v>62.930999999999997</v>
      </c>
      <c r="T8" s="14">
        <f>+'Revenue Metrics'!L8</f>
        <v>60.35</v>
      </c>
      <c r="U8" s="14">
        <f>+'Revenue Metrics'!L24</f>
        <v>60.360999999999997</v>
      </c>
      <c r="V8" s="14">
        <f>+'Revenue Metrics'!M8</f>
        <v>57.042000000000002</v>
      </c>
      <c r="W8" s="14">
        <f>+'Revenue Metrics'!M24</f>
        <v>57.052</v>
      </c>
      <c r="X8" s="15"/>
      <c r="Y8" s="187">
        <f>+'Revenue Metrics'!O8</f>
        <v>244.71700000000001</v>
      </c>
      <c r="Z8" s="188">
        <f>+'Revenue Metrics'!O24</f>
        <v>244.755</v>
      </c>
      <c r="AA8" s="15"/>
      <c r="AB8" s="14">
        <f>+'Revenue Metrics'!Q8</f>
        <v>48.723999999999997</v>
      </c>
      <c r="AC8" s="14">
        <f>+'Revenue Metrics'!Q24</f>
        <v>48.738</v>
      </c>
      <c r="AD8" s="14">
        <f>+'Revenue Metrics'!R8</f>
        <v>48.107999999999997</v>
      </c>
      <c r="AE8" s="14">
        <f>+'Revenue Metrics'!R24</f>
        <v>48.107999999999997</v>
      </c>
      <c r="AF8" s="14">
        <f>+'Revenue Metrics'!S8</f>
        <v>42.999000000000002</v>
      </c>
      <c r="AG8" s="14">
        <f>+'Revenue Metrics'!S24</f>
        <v>42.999000000000002</v>
      </c>
      <c r="AH8" s="15"/>
      <c r="AI8" s="14">
        <f>+'Revenue Metrics'!U8</f>
        <v>139.83099999999999</v>
      </c>
      <c r="AJ8" s="14">
        <f>+'Revenue Metrics'!U24</f>
        <v>139.845</v>
      </c>
      <c r="AK8" s="15"/>
      <c r="AL8" s="316"/>
      <c r="AM8" s="15"/>
      <c r="AN8" s="15"/>
      <c r="AO8" s="15"/>
      <c r="AP8" s="15"/>
      <c r="AQ8" s="15"/>
    </row>
    <row r="9" spans="1:43" ht="17.25" thickBot="1" x14ac:dyDescent="0.4">
      <c r="A9" s="307"/>
      <c r="B9" s="13" t="s">
        <v>20</v>
      </c>
      <c r="C9" s="15"/>
      <c r="D9" s="187">
        <f t="shared" ref="D9:E9" si="12">+D10+D11</f>
        <v>56.795000000000002</v>
      </c>
      <c r="E9" s="14">
        <f t="shared" si="12"/>
        <v>56.795000000000002</v>
      </c>
      <c r="F9" s="14">
        <f t="shared" ref="F9:G9" si="13">+F10+F11</f>
        <v>64.813000000000002</v>
      </c>
      <c r="G9" s="188">
        <f t="shared" si="13"/>
        <v>64.813000000000002</v>
      </c>
      <c r="H9" s="14">
        <f t="shared" ref="H9:I9" si="14">+H10+H11</f>
        <v>64.989000000000004</v>
      </c>
      <c r="I9" s="188">
        <f t="shared" si="14"/>
        <v>64.989000000000004</v>
      </c>
      <c r="J9" s="14">
        <f t="shared" ref="J9:K9" si="15">+J10+J11</f>
        <v>68.025999999999996</v>
      </c>
      <c r="K9" s="188">
        <f t="shared" si="15"/>
        <v>68.025999999999996</v>
      </c>
      <c r="L9" s="22"/>
      <c r="M9" s="187">
        <f t="shared" ref="M9:N9" si="16">+M10+M11</f>
        <v>254.62300000000002</v>
      </c>
      <c r="N9" s="188">
        <f t="shared" si="16"/>
        <v>254.62300000000002</v>
      </c>
      <c r="O9" s="15"/>
      <c r="P9" s="14">
        <f t="shared" ref="P9:U9" si="17">+P10+P11</f>
        <v>56.451000000000001</v>
      </c>
      <c r="Q9" s="14">
        <f t="shared" si="17"/>
        <v>56.451000000000001</v>
      </c>
      <c r="R9" s="14">
        <f t="shared" si="17"/>
        <v>58.438999999999993</v>
      </c>
      <c r="S9" s="14">
        <f t="shared" si="17"/>
        <v>58.438999999999993</v>
      </c>
      <c r="T9" s="14">
        <f t="shared" si="17"/>
        <v>66.009</v>
      </c>
      <c r="U9" s="14">
        <f t="shared" si="17"/>
        <v>66.009</v>
      </c>
      <c r="V9" s="14">
        <f t="shared" ref="V9:W9" si="18">+V10+V11</f>
        <v>60.480999999999995</v>
      </c>
      <c r="W9" s="14">
        <f t="shared" si="18"/>
        <v>60.480999999999995</v>
      </c>
      <c r="X9" s="15"/>
      <c r="Y9" s="187">
        <f t="shared" ref="Y9:Z9" si="19">+Y10+Y11</f>
        <v>241.38</v>
      </c>
      <c r="Z9" s="188">
        <f t="shared" si="19"/>
        <v>241.38</v>
      </c>
      <c r="AA9" s="15"/>
      <c r="AB9" s="14">
        <f t="shared" ref="AB9:AC9" si="20">+AB10+AB11</f>
        <v>58.539000000000001</v>
      </c>
      <c r="AC9" s="14">
        <f t="shared" si="20"/>
        <v>58.539000000000001</v>
      </c>
      <c r="AD9" s="14">
        <f t="shared" ref="AD9:AE9" si="21">+AD10+AD11</f>
        <v>56.459000000000003</v>
      </c>
      <c r="AE9" s="14">
        <f t="shared" si="21"/>
        <v>56.459000000000003</v>
      </c>
      <c r="AF9" s="14">
        <f t="shared" ref="AF9:AG9" si="22">+AF10+AF11</f>
        <v>50.971000000000004</v>
      </c>
      <c r="AG9" s="14">
        <f t="shared" si="22"/>
        <v>50.971000000000004</v>
      </c>
      <c r="AH9" s="15"/>
      <c r="AI9" s="14">
        <f t="shared" ref="AI9:AJ9" si="23">+AI10+AI11</f>
        <v>165.96899999999999</v>
      </c>
      <c r="AJ9" s="14">
        <f t="shared" si="23"/>
        <v>165.96899999999999</v>
      </c>
      <c r="AK9" s="15"/>
      <c r="AL9" s="316"/>
      <c r="AM9" s="15"/>
      <c r="AN9" s="15"/>
      <c r="AO9" s="15"/>
      <c r="AP9" s="15"/>
      <c r="AQ9" s="15"/>
    </row>
    <row r="10" spans="1:43" ht="17.25" thickBot="1" x14ac:dyDescent="0.4">
      <c r="A10" s="307"/>
      <c r="B10" s="13" t="s">
        <v>21</v>
      </c>
      <c r="C10" s="15"/>
      <c r="D10" s="187">
        <f>+'Revenue Metrics'!C10</f>
        <v>28.524999999999999</v>
      </c>
      <c r="E10" s="14">
        <f>+'Revenue Metrics'!C26</f>
        <v>28.524999999999999</v>
      </c>
      <c r="F10" s="14">
        <f>+'Revenue Metrics'!D10</f>
        <v>35.829000000000001</v>
      </c>
      <c r="G10" s="188">
        <f>+'Revenue Metrics'!D26</f>
        <v>35.829000000000001</v>
      </c>
      <c r="H10" s="14">
        <f>+'Revenue Metrics'!E10</f>
        <v>35.460999999999999</v>
      </c>
      <c r="I10" s="188">
        <f>+'Revenue Metrics'!E26</f>
        <v>35.460999999999999</v>
      </c>
      <c r="J10" s="14">
        <f>+'Revenue Metrics'!F10</f>
        <v>42.024999999999999</v>
      </c>
      <c r="K10" s="188">
        <f>+'Revenue Metrics'!F26</f>
        <v>42.024999999999999</v>
      </c>
      <c r="L10" s="22"/>
      <c r="M10" s="187">
        <f>+'Revenue Metrics'!H10</f>
        <v>141.84</v>
      </c>
      <c r="N10" s="188">
        <f>+'Revenue Metrics'!H26</f>
        <v>141.84</v>
      </c>
      <c r="O10" s="15"/>
      <c r="P10" s="14">
        <f>+'Revenue Metrics'!J10</f>
        <v>29.323</v>
      </c>
      <c r="Q10" s="14">
        <f>+'Revenue Metrics'!J26</f>
        <v>29.323</v>
      </c>
      <c r="R10" s="14">
        <f>+'Revenue Metrics'!K10</f>
        <v>32.348999999999997</v>
      </c>
      <c r="S10" s="14">
        <f>+'Revenue Metrics'!K26</f>
        <v>32.348999999999997</v>
      </c>
      <c r="T10" s="14">
        <f>+'Revenue Metrics'!L10</f>
        <v>40.436</v>
      </c>
      <c r="U10" s="14">
        <f>+'Revenue Metrics'!L26</f>
        <v>40.436</v>
      </c>
      <c r="V10" s="14">
        <f>+'Revenue Metrics'!M10</f>
        <v>35.97</v>
      </c>
      <c r="W10" s="14">
        <f>+'Revenue Metrics'!M26</f>
        <v>35.97</v>
      </c>
      <c r="X10" s="15"/>
      <c r="Y10" s="187">
        <f>+'Revenue Metrics'!O10</f>
        <v>138.078</v>
      </c>
      <c r="Z10" s="188">
        <f>+'Revenue Metrics'!O26</f>
        <v>138.078</v>
      </c>
      <c r="AA10" s="15"/>
      <c r="AB10" s="14">
        <f>+'Revenue Metrics'!Q10</f>
        <v>33.258000000000003</v>
      </c>
      <c r="AC10" s="14">
        <f>+'Revenue Metrics'!Q26</f>
        <v>33.258000000000003</v>
      </c>
      <c r="AD10" s="14">
        <f>+'Revenue Metrics'!R10</f>
        <v>30.79</v>
      </c>
      <c r="AE10" s="14">
        <f>+'Revenue Metrics'!R26</f>
        <v>30.79</v>
      </c>
      <c r="AF10" s="14">
        <f>+'Revenue Metrics'!S10</f>
        <v>24.425000000000001</v>
      </c>
      <c r="AG10" s="14">
        <f>+'Revenue Metrics'!S26</f>
        <v>24.425000000000001</v>
      </c>
      <c r="AH10" s="15"/>
      <c r="AI10" s="14">
        <f>+'Revenue Metrics'!U10</f>
        <v>88.472999999999999</v>
      </c>
      <c r="AJ10" s="14">
        <f>+'Revenue Metrics'!U26</f>
        <v>88.472999999999999</v>
      </c>
      <c r="AK10" s="15"/>
      <c r="AL10" s="316"/>
      <c r="AM10" s="15"/>
      <c r="AN10" s="15"/>
      <c r="AO10" s="15"/>
      <c r="AP10" s="15"/>
      <c r="AQ10" s="15"/>
    </row>
    <row r="11" spans="1:43" ht="17.25" thickBot="1" x14ac:dyDescent="0.4">
      <c r="A11" s="307"/>
      <c r="B11" s="13" t="s">
        <v>22</v>
      </c>
      <c r="C11" s="15"/>
      <c r="D11" s="187">
        <f>+'Revenue Metrics'!C11</f>
        <v>28.27</v>
      </c>
      <c r="E11" s="14">
        <f>+'Revenue Metrics'!C27</f>
        <v>28.27</v>
      </c>
      <c r="F11" s="14">
        <f>+'Revenue Metrics'!D11</f>
        <v>28.984000000000002</v>
      </c>
      <c r="G11" s="188">
        <f>+'Revenue Metrics'!D27</f>
        <v>28.984000000000002</v>
      </c>
      <c r="H11" s="14">
        <f>+'Revenue Metrics'!E11</f>
        <v>29.527999999999999</v>
      </c>
      <c r="I11" s="188">
        <f>+'Revenue Metrics'!E27</f>
        <v>29.527999999999999</v>
      </c>
      <c r="J11" s="14">
        <f>+'Revenue Metrics'!F11</f>
        <v>26.001000000000001</v>
      </c>
      <c r="K11" s="188">
        <f>+'Revenue Metrics'!F27</f>
        <v>26.001000000000001</v>
      </c>
      <c r="L11" s="22"/>
      <c r="M11" s="187">
        <f>+'Revenue Metrics'!H11</f>
        <v>112.78300000000002</v>
      </c>
      <c r="N11" s="188">
        <f>+'Revenue Metrics'!H27</f>
        <v>112.78300000000002</v>
      </c>
      <c r="O11" s="15"/>
      <c r="P11" s="14">
        <f>+'Revenue Metrics'!J11</f>
        <v>27.128</v>
      </c>
      <c r="Q11" s="14">
        <f>+'Revenue Metrics'!J27</f>
        <v>27.128</v>
      </c>
      <c r="R11" s="14">
        <f>+'Revenue Metrics'!K11</f>
        <v>26.09</v>
      </c>
      <c r="S11" s="14">
        <f>+'Revenue Metrics'!K27</f>
        <v>26.09</v>
      </c>
      <c r="T11" s="14">
        <f>+'Revenue Metrics'!L11</f>
        <v>25.573</v>
      </c>
      <c r="U11" s="14">
        <f>+'Revenue Metrics'!L27</f>
        <v>25.573</v>
      </c>
      <c r="V11" s="14">
        <f>+'Revenue Metrics'!M11</f>
        <v>24.510999999999999</v>
      </c>
      <c r="W11" s="14">
        <f>+'Revenue Metrics'!M27</f>
        <v>24.510999999999999</v>
      </c>
      <c r="X11" s="15"/>
      <c r="Y11" s="187">
        <f>+'Revenue Metrics'!O11</f>
        <v>103.30199999999999</v>
      </c>
      <c r="Z11" s="188">
        <f>+'Revenue Metrics'!O27</f>
        <v>103.30199999999999</v>
      </c>
      <c r="AA11" s="15"/>
      <c r="AB11" s="14">
        <f>+'Revenue Metrics'!Q11</f>
        <v>25.280999999999999</v>
      </c>
      <c r="AC11" s="14">
        <f>+'Revenue Metrics'!Q27</f>
        <v>25.280999999999999</v>
      </c>
      <c r="AD11" s="14">
        <f>+'Revenue Metrics'!R11</f>
        <v>25.669</v>
      </c>
      <c r="AE11" s="14">
        <f>+'Revenue Metrics'!R27</f>
        <v>25.669</v>
      </c>
      <c r="AF11" s="14">
        <f>+'Revenue Metrics'!S11</f>
        <v>26.545999999999999</v>
      </c>
      <c r="AG11" s="14">
        <f>+'Revenue Metrics'!S27</f>
        <v>26.545999999999999</v>
      </c>
      <c r="AH11" s="15"/>
      <c r="AI11" s="14">
        <f>+'Revenue Metrics'!U11</f>
        <v>77.496000000000009</v>
      </c>
      <c r="AJ11" s="14">
        <f>+'Revenue Metrics'!U27</f>
        <v>77.496000000000009</v>
      </c>
      <c r="AK11" s="15"/>
      <c r="AL11" s="316"/>
      <c r="AM11" s="15"/>
      <c r="AN11" s="15"/>
      <c r="AO11" s="15"/>
      <c r="AP11" s="15"/>
      <c r="AQ11" s="15"/>
    </row>
    <row r="12" spans="1:43" ht="17.25" thickBot="1" x14ac:dyDescent="0.4">
      <c r="A12" s="307"/>
      <c r="B12" s="13" t="s">
        <v>23</v>
      </c>
      <c r="C12" s="15"/>
      <c r="D12" s="187">
        <f>+'Revenue Metrics'!C12</f>
        <v>185.86500000000001</v>
      </c>
      <c r="E12" s="14">
        <f>+'Revenue Metrics'!C28</f>
        <v>189.12700000000001</v>
      </c>
      <c r="F12" s="14">
        <f>+'Revenue Metrics'!D12</f>
        <v>204.07999999999998</v>
      </c>
      <c r="G12" s="188">
        <f>+'Revenue Metrics'!D28</f>
        <v>207.14600000000002</v>
      </c>
      <c r="H12" s="14">
        <f>+'Revenue Metrics'!E12</f>
        <v>215.22200000000001</v>
      </c>
      <c r="I12" s="188">
        <f>+'Revenue Metrics'!E28</f>
        <v>217.44899999999998</v>
      </c>
      <c r="J12" s="14">
        <f>+'Revenue Metrics'!F12</f>
        <v>225.07999999999998</v>
      </c>
      <c r="K12" s="188">
        <f>+'Revenue Metrics'!F28</f>
        <v>226.86099999999999</v>
      </c>
      <c r="L12" s="22"/>
      <c r="M12" s="187">
        <f>+'Revenue Metrics'!H12</f>
        <v>830.24700000000007</v>
      </c>
      <c r="N12" s="188">
        <f>+'Revenue Metrics'!H28</f>
        <v>840.58299999999997</v>
      </c>
      <c r="O12" s="15"/>
      <c r="P12" s="14">
        <f>+'Revenue Metrics'!J12</f>
        <v>200.904</v>
      </c>
      <c r="Q12" s="14">
        <f>+'Revenue Metrics'!J28</f>
        <v>201.94300000000001</v>
      </c>
      <c r="R12" s="14">
        <f>+'Revenue Metrics'!K12</f>
        <v>214.61699999999999</v>
      </c>
      <c r="S12" s="14">
        <f>+'Revenue Metrics'!K28</f>
        <v>215.63</v>
      </c>
      <c r="T12" s="14">
        <f>+'Revenue Metrics'!L12</f>
        <v>224.82</v>
      </c>
      <c r="U12" s="14">
        <f>+'Revenue Metrics'!L28</f>
        <v>226.928</v>
      </c>
      <c r="V12" s="14">
        <f>+'Revenue Metrics'!M12</f>
        <v>234.16800000000001</v>
      </c>
      <c r="W12" s="14">
        <f>+'Revenue Metrics'!M28</f>
        <v>236.179</v>
      </c>
      <c r="X12" s="15"/>
      <c r="Y12" s="187">
        <f>+'Revenue Metrics'!O12</f>
        <v>874.5089999999999</v>
      </c>
      <c r="Z12" s="188">
        <f>+'Revenue Metrics'!O28</f>
        <v>880.68</v>
      </c>
      <c r="AA12" s="15"/>
      <c r="AB12" s="14">
        <f>+'Revenue Metrics'!Q12</f>
        <v>217.90600000000001</v>
      </c>
      <c r="AC12" s="14">
        <f>+'Revenue Metrics'!Q28</f>
        <v>219.24899999999997</v>
      </c>
      <c r="AD12" s="14">
        <f>+'Revenue Metrics'!R12</f>
        <v>222.899</v>
      </c>
      <c r="AE12" s="14">
        <f>+'Revenue Metrics'!R28</f>
        <v>223.631</v>
      </c>
      <c r="AF12" s="14">
        <f>+'Revenue Metrics'!S12</f>
        <v>225.19300000000001</v>
      </c>
      <c r="AG12" s="14">
        <f>+'Revenue Metrics'!S28</f>
        <v>225.61600000000001</v>
      </c>
      <c r="AH12" s="15"/>
      <c r="AI12" s="14">
        <f>+'Revenue Metrics'!U12</f>
        <v>665.99800000000005</v>
      </c>
      <c r="AJ12" s="14">
        <f>+'Revenue Metrics'!U28</f>
        <v>668.49599999999998</v>
      </c>
      <c r="AK12" s="15"/>
      <c r="AL12" s="317"/>
      <c r="AM12" s="15"/>
      <c r="AN12" s="15"/>
      <c r="AO12" s="15"/>
      <c r="AP12" s="15"/>
      <c r="AQ12" s="15"/>
    </row>
    <row r="13" spans="1:43" ht="17.25" thickBot="1" x14ac:dyDescent="0.4">
      <c r="A13" s="307"/>
      <c r="B13" s="13"/>
      <c r="C13" s="15"/>
      <c r="D13" s="187"/>
      <c r="E13" s="14"/>
      <c r="F13" s="14"/>
      <c r="G13" s="188"/>
      <c r="H13" s="14"/>
      <c r="I13" s="188"/>
      <c r="J13" s="14"/>
      <c r="K13" s="188"/>
      <c r="L13" s="22"/>
      <c r="M13" s="187"/>
      <c r="N13" s="188"/>
      <c r="O13" s="15"/>
      <c r="P13" s="14"/>
      <c r="Q13" s="14"/>
      <c r="R13" s="14"/>
      <c r="S13" s="14"/>
      <c r="T13" s="14"/>
      <c r="U13" s="14"/>
      <c r="V13" s="14"/>
      <c r="W13" s="14"/>
      <c r="X13" s="15"/>
      <c r="Y13" s="187"/>
      <c r="Z13" s="188"/>
      <c r="AA13" s="15"/>
      <c r="AB13" s="14"/>
      <c r="AC13" s="14"/>
      <c r="AD13" s="14"/>
      <c r="AE13" s="14"/>
      <c r="AF13" s="14"/>
      <c r="AG13" s="14"/>
      <c r="AH13" s="15"/>
      <c r="AI13" s="14"/>
      <c r="AJ13" s="14"/>
      <c r="AK13" s="15"/>
      <c r="AL13" s="16"/>
      <c r="AM13" s="15"/>
      <c r="AN13" s="15"/>
      <c r="AO13" s="15"/>
      <c r="AP13" s="15"/>
      <c r="AQ13" s="15"/>
    </row>
    <row r="14" spans="1:43" ht="16.899999999999999" thickBot="1" x14ac:dyDescent="0.45">
      <c r="A14" s="307"/>
      <c r="B14" s="17" t="s">
        <v>24</v>
      </c>
      <c r="C14" s="18"/>
      <c r="D14" s="189">
        <f>'Constant Currency'!B10</f>
        <v>-0.10251333928873217</v>
      </c>
      <c r="E14" s="19">
        <f>'Constant Currency'!B18</f>
        <v>-0.12387256968411096</v>
      </c>
      <c r="F14" s="19">
        <f>'Constant Currency'!C10</f>
        <v>-3.4790669517017078E-2</v>
      </c>
      <c r="G14" s="190">
        <f>'Constant Currency'!C18</f>
        <v>-5.163352012599344E-2</v>
      </c>
      <c r="H14" s="19">
        <f>'Constant Currency'!D10</f>
        <v>-1.245319726892298E-2</v>
      </c>
      <c r="I14" s="190">
        <f>'Constant Currency'!D18</f>
        <v>-2.9890831545088387E-2</v>
      </c>
      <c r="J14" s="19">
        <f>'Constant Currency'!E10</f>
        <v>7.1513581963076819E-2</v>
      </c>
      <c r="K14" s="190">
        <f>'Constant Currency'!E18</f>
        <v>5.6346619482212701E-2</v>
      </c>
      <c r="L14" s="172"/>
      <c r="M14" s="189">
        <f>'Constant Currency'!G10</f>
        <v>-1.922920173651092E-2</v>
      </c>
      <c r="N14" s="190">
        <f>'Constant Currency'!G18</f>
        <v>-3.7353412734768748E-2</v>
      </c>
      <c r="O14" s="15"/>
      <c r="P14" s="19">
        <f>'Constant Currency'!I10</f>
        <v>8.0913566298119535E-2</v>
      </c>
      <c r="Q14" s="19">
        <f>'Constant Currency'!I18</f>
        <v>6.7763989277046646E-2</v>
      </c>
      <c r="R14" s="19">
        <f>'Constant Currency'!J10</f>
        <v>5.1631713053704467E-2</v>
      </c>
      <c r="S14" s="19">
        <f>'Constant Currency'!J18</f>
        <v>4.0956619968524517E-2</v>
      </c>
      <c r="T14" s="19">
        <f>'Constant Currency'!K10</f>
        <v>4.4595812695728057E-2</v>
      </c>
      <c r="U14" s="19">
        <f>'Constant Currency'!K18</f>
        <v>4.3591830728124822E-2</v>
      </c>
      <c r="V14" s="19">
        <f>'Constant Currency'!L10</f>
        <v>4.0376754931579988E-2</v>
      </c>
      <c r="W14" s="19">
        <f>'Constant Currency'!L18</f>
        <v>4.1073608949973826E-2</v>
      </c>
      <c r="X14" s="15"/>
      <c r="Y14" s="189">
        <f>'Constant Currency'!N10</f>
        <v>5.3311845751926629E-2</v>
      </c>
      <c r="Z14" s="190">
        <f>'Constant Currency'!N18</f>
        <v>4.770141675479992E-2</v>
      </c>
      <c r="AA14" s="15"/>
      <c r="AB14" s="19">
        <f>'Constant Currency'!P10</f>
        <v>8.4627483773344531E-2</v>
      </c>
      <c r="AC14" s="19">
        <f>'Constant Currency'!P18</f>
        <v>8.5697449280242213E-2</v>
      </c>
      <c r="AD14" s="19">
        <f>'Constant Currency'!Q10</f>
        <v>3.8589673697796589E-2</v>
      </c>
      <c r="AE14" s="19">
        <f>'Constant Currency'!Q18</f>
        <v>3.710522654547143E-2</v>
      </c>
      <c r="AF14" s="19">
        <f>'Constant Currency'!R10</f>
        <v>1.6591050618273236E-3</v>
      </c>
      <c r="AG14" s="19">
        <f>'Constant Currency'!R18</f>
        <v>-5.7815694845941594E-3</v>
      </c>
      <c r="AH14" s="15"/>
      <c r="AI14" s="19">
        <f>'Constant Currency'!T10</f>
        <v>4.0067713921176619E-2</v>
      </c>
      <c r="AJ14" s="19">
        <f>'Constant Currency'!T18</f>
        <v>3.7230353405192554E-2</v>
      </c>
      <c r="AK14" s="15"/>
      <c r="AL14" s="303" t="s">
        <v>137</v>
      </c>
      <c r="AM14" s="15"/>
      <c r="AN14" s="15"/>
      <c r="AO14" s="15"/>
      <c r="AP14" s="15"/>
      <c r="AQ14" s="15"/>
    </row>
    <row r="15" spans="1:43" ht="16.899999999999999" thickBot="1" x14ac:dyDescent="0.45">
      <c r="A15" s="308"/>
      <c r="B15" s="17" t="s">
        <v>25</v>
      </c>
      <c r="C15" s="18"/>
      <c r="D15" s="191">
        <f>'Constant Currency'!B12</f>
        <v>-9.2204060938216759E-2</v>
      </c>
      <c r="E15" s="192">
        <f>'Constant Currency'!B20</f>
        <v>-0.11519593082777818</v>
      </c>
      <c r="F15" s="192">
        <f>'Constant Currency'!C12</f>
        <v>-3.0439471045611944E-2</v>
      </c>
      <c r="G15" s="193">
        <f>'Constant Currency'!C20</f>
        <v>-4.7723693367029293E-2</v>
      </c>
      <c r="H15" s="192">
        <f>'Constant Currency'!D12</f>
        <v>-2.2648851038837122E-2</v>
      </c>
      <c r="I15" s="193">
        <f>'Constant Currency'!D20</f>
        <v>-4.0816599672539255E-2</v>
      </c>
      <c r="J15" s="192">
        <f>'Constant Currency'!E12</f>
        <v>6.1611554903883724E-2</v>
      </c>
      <c r="K15" s="193">
        <f>'Constant Currency'!E20</f>
        <v>4.3024771838331206E-2</v>
      </c>
      <c r="L15" s="172"/>
      <c r="M15" s="191">
        <f>'Constant Currency'!G12</f>
        <v>-2.0702282862289922E-2</v>
      </c>
      <c r="N15" s="193">
        <f>'Constant Currency'!G20</f>
        <v>-3.916628492899684E-2</v>
      </c>
      <c r="O15" s="15"/>
      <c r="P15" s="19">
        <f>'Constant Currency'!I12</f>
        <v>5.4528824684582845E-2</v>
      </c>
      <c r="Q15" s="19">
        <f>'Constant Currency'!I20</f>
        <v>4.1628112326637601E-2</v>
      </c>
      <c r="R15" s="19">
        <f>'Constant Currency'!J12</f>
        <v>2.9008232065856607E-2</v>
      </c>
      <c r="S15" s="19">
        <f>'Constant Currency'!J20</f>
        <v>1.8605234955055779E-2</v>
      </c>
      <c r="T15" s="19">
        <f>'Constant Currency'!K12</f>
        <v>3.6139428125377474E-2</v>
      </c>
      <c r="U15" s="19">
        <f>'Constant Currency'!K20</f>
        <v>3.4725383883117494E-2</v>
      </c>
      <c r="V15" s="19">
        <f>'Constant Currency'!L12</f>
        <v>4.4073218411231636E-2</v>
      </c>
      <c r="W15" s="19">
        <f>'Constant Currency'!L20</f>
        <v>4.4692565050846157E-2</v>
      </c>
      <c r="X15" s="15"/>
      <c r="Y15" s="191">
        <f>'Constant Currency'!N12</f>
        <v>4.1858627613228262E-2</v>
      </c>
      <c r="Z15" s="193">
        <f>'Constant Currency'!N20</f>
        <v>3.6185599756359613E-2</v>
      </c>
      <c r="AA15" s="15"/>
      <c r="AB15" s="19">
        <f>'Constant Currency'!P12</f>
        <v>9.5050372317126611E-2</v>
      </c>
      <c r="AC15" s="19">
        <f>'Constant Currency'!P20</f>
        <v>9.9320105178193785E-2</v>
      </c>
      <c r="AD15" s="19">
        <f>'Constant Currency'!Q12</f>
        <v>6.7017058294543352E-2</v>
      </c>
      <c r="AE15" s="19">
        <f>'Constant Currency'!Q20</f>
        <v>6.2004359319204214E-2</v>
      </c>
      <c r="AF15" s="19">
        <f>'Constant Currency'!R12</f>
        <v>3.1936660439462715E-2</v>
      </c>
      <c r="AG15" s="19">
        <f>'Constant Currency'!R20</f>
        <v>2.2350701544102108E-2</v>
      </c>
      <c r="AH15" s="15"/>
      <c r="AI15" s="19">
        <f>'Constant Currency'!T12</f>
        <v>6.3495856114164348E-2</v>
      </c>
      <c r="AJ15" s="19">
        <f>'Constant Currency'!T20</f>
        <v>5.9734585361388148E-2</v>
      </c>
      <c r="AK15" s="15"/>
      <c r="AL15" s="318"/>
      <c r="AM15" s="15"/>
      <c r="AN15" s="15"/>
      <c r="AO15" s="15"/>
      <c r="AP15" s="15"/>
      <c r="AQ15" s="15"/>
    </row>
    <row r="16" spans="1:43" ht="17.25" thickBot="1" x14ac:dyDescent="0.4">
      <c r="A16" s="20"/>
      <c r="B16" s="21"/>
      <c r="C16" s="15"/>
      <c r="D16" s="22"/>
      <c r="E16" s="22"/>
      <c r="F16" s="22"/>
      <c r="G16" s="22"/>
      <c r="H16" s="22"/>
      <c r="I16" s="22"/>
      <c r="J16" s="22"/>
      <c r="K16" s="22"/>
      <c r="L16" s="22"/>
      <c r="M16" s="22"/>
      <c r="N16" s="22"/>
      <c r="O16" s="15"/>
      <c r="P16" s="22"/>
      <c r="Q16" s="22"/>
      <c r="R16" s="22"/>
      <c r="S16" s="22"/>
      <c r="T16" s="22"/>
      <c r="U16" s="22"/>
      <c r="V16" s="22"/>
      <c r="W16" s="22"/>
      <c r="X16" s="15"/>
      <c r="Y16" s="22"/>
      <c r="Z16" s="22"/>
      <c r="AA16" s="15"/>
      <c r="AB16" s="22"/>
      <c r="AC16" s="22"/>
      <c r="AD16" s="22"/>
      <c r="AE16" s="22"/>
      <c r="AF16" s="22"/>
      <c r="AG16" s="22"/>
      <c r="AH16" s="15"/>
      <c r="AI16" s="22"/>
      <c r="AJ16" s="22"/>
      <c r="AK16" s="15"/>
      <c r="AL16" s="23"/>
      <c r="AM16" s="15"/>
      <c r="AN16" s="15"/>
      <c r="AO16" s="15"/>
      <c r="AP16" s="15"/>
      <c r="AQ16" s="15"/>
    </row>
    <row r="17" spans="1:43" ht="33" customHeight="1" thickBot="1" x14ac:dyDescent="0.45">
      <c r="A17" s="285" t="s">
        <v>26</v>
      </c>
      <c r="B17" s="17" t="s">
        <v>27</v>
      </c>
      <c r="C17" s="18"/>
      <c r="D17" s="194">
        <f>+(D7+D8+D10)/D12</f>
        <v>0.84790035778656547</v>
      </c>
      <c r="E17" s="195">
        <f t="shared" ref="E17:G17" si="24">+(E7+E8+E10)/E12</f>
        <v>0.85052372215495409</v>
      </c>
      <c r="F17" s="195">
        <f>+(F7+F8+F10)/F12</f>
        <v>0.85797726381811068</v>
      </c>
      <c r="G17" s="196">
        <f t="shared" si="24"/>
        <v>0.86007936431309318</v>
      </c>
      <c r="H17" s="195">
        <f>+(H7+H8+H10)/H12</f>
        <v>0.86280212989378413</v>
      </c>
      <c r="I17" s="196">
        <f t="shared" ref="I17:K17" si="25">+(I7+I8+I10)/I12</f>
        <v>0.86420723939866362</v>
      </c>
      <c r="J17" s="195">
        <f>+(J7+J8+J10)/J12</f>
        <v>0.88448107339612592</v>
      </c>
      <c r="K17" s="196">
        <f t="shared" si="25"/>
        <v>0.88538796884435844</v>
      </c>
      <c r="L17" s="172"/>
      <c r="M17" s="223">
        <f>+(M7+M8+M10)/M12</f>
        <v>0.8641572929501703</v>
      </c>
      <c r="N17" s="183">
        <f t="shared" ref="N17" si="26">+(N7+N8+N10)/N12</f>
        <v>0.86582764581248983</v>
      </c>
      <c r="O17" s="15"/>
      <c r="P17" s="24">
        <f t="shared" ref="P17:U17" si="27">+(P7+P8+P10)/P12</f>
        <v>0.86497033408991364</v>
      </c>
      <c r="Q17" s="24">
        <f t="shared" si="27"/>
        <v>0.86566506390417108</v>
      </c>
      <c r="R17" s="24">
        <f t="shared" si="27"/>
        <v>0.87843460676460861</v>
      </c>
      <c r="S17" s="24">
        <f t="shared" si="27"/>
        <v>0.87900570421555435</v>
      </c>
      <c r="T17" s="24">
        <f t="shared" si="27"/>
        <v>0.88625122320078298</v>
      </c>
      <c r="U17" s="24">
        <f t="shared" si="27"/>
        <v>0.88730786857505461</v>
      </c>
      <c r="V17" s="24">
        <f>+(V7+V8+V10)/V12</f>
        <v>0.89532728639267534</v>
      </c>
      <c r="W17" s="24">
        <f t="shared" ref="W17" si="28">+(W7+W8+W10)/W12</f>
        <v>0.8962185461027441</v>
      </c>
      <c r="X17" s="15"/>
      <c r="Y17" s="223">
        <f>+(Y7+Y8+Y10)/Y12</f>
        <v>0.88187428602793116</v>
      </c>
      <c r="Z17" s="183">
        <f t="shared" ref="Z17" si="29">+(Z7+Z8+Z10)/Z12</f>
        <v>0.88270200299768353</v>
      </c>
      <c r="AA17" s="15"/>
      <c r="AB17" s="24">
        <f>+(AB7+AB8+AB10)/AB12</f>
        <v>0.88398208401787925</v>
      </c>
      <c r="AC17" s="24">
        <f t="shared" ref="AC17:AE17" si="30">+(AC7+AC8+AC10)/AC12</f>
        <v>0.88469274660317732</v>
      </c>
      <c r="AD17" s="24">
        <f>+(AD7+AD8+AD10)/AD12</f>
        <v>0.88484021911269228</v>
      </c>
      <c r="AE17" s="24">
        <f t="shared" si="30"/>
        <v>0.88521716577755316</v>
      </c>
      <c r="AF17" s="24">
        <f>+(AF7+AF8+AF10)/AF12</f>
        <v>0.88211889357129225</v>
      </c>
      <c r="AG17" s="24">
        <f t="shared" ref="AG17" si="31">+(AG7+AG8+AG10)/AG12</f>
        <v>0.88233990497127868</v>
      </c>
      <c r="AH17" s="15"/>
      <c r="AI17" s="24">
        <f>+(AI7+AI8+AI10)/AI12</f>
        <v>0.88363929020807852</v>
      </c>
      <c r="AJ17" s="24">
        <f>+(AJ7+AJ8+AJ10)/AJ12</f>
        <v>0.8840741006677677</v>
      </c>
      <c r="AK17" s="15"/>
      <c r="AL17" s="15"/>
      <c r="AM17" s="15"/>
      <c r="AN17" s="15"/>
      <c r="AO17" s="15"/>
      <c r="AP17" s="15"/>
      <c r="AQ17" s="15"/>
    </row>
    <row r="18" spans="1:43" ht="33" customHeight="1" thickBot="1" x14ac:dyDescent="0.45">
      <c r="A18" s="286"/>
      <c r="B18" s="17" t="s">
        <v>28</v>
      </c>
      <c r="C18" s="18"/>
      <c r="D18" s="197">
        <f>+(D7+D8)/(D7+D8+D10)</f>
        <v>0.81899806465941172</v>
      </c>
      <c r="E18" s="198">
        <f t="shared" ref="E18:G18" si="32">+(E7+E8)/(E7+E8+E10)</f>
        <v>0.82266858141081822</v>
      </c>
      <c r="F18" s="198">
        <f>+(F7+F8)/(F7+F8+F10)</f>
        <v>0.79537510851190196</v>
      </c>
      <c r="G18" s="199">
        <f t="shared" si="32"/>
        <v>0.79889650991793981</v>
      </c>
      <c r="H18" s="198">
        <f>+(H7+H8)/(H7+H8+H10)</f>
        <v>0.80903529462448975</v>
      </c>
      <c r="I18" s="199">
        <f t="shared" ref="I18:K18" si="33">+(I7+I8)/(I7+I8+I10)</f>
        <v>0.81129836473837402</v>
      </c>
      <c r="J18" s="198">
        <f>+(J7+J8)/(J7+J8+J10)</f>
        <v>0.78890289784457424</v>
      </c>
      <c r="K18" s="199">
        <f t="shared" si="33"/>
        <v>0.79077466892362835</v>
      </c>
      <c r="L18" s="172"/>
      <c r="M18" s="224">
        <f>+(M7+M8)/(M7+M8+M10)</f>
        <v>0.80230366959178434</v>
      </c>
      <c r="N18" s="183">
        <f t="shared" ref="N18" si="34">+(N7+N8)/(N7+N8+N10)</f>
        <v>0.80511129431162409</v>
      </c>
      <c r="O18" s="15"/>
      <c r="P18" s="24">
        <f t="shared" ref="P18:U18" si="35">+(P7+P8)/(P7+P8+P10)</f>
        <v>0.83125978270877443</v>
      </c>
      <c r="Q18" s="24">
        <f t="shared" si="35"/>
        <v>0.83226267768784146</v>
      </c>
      <c r="R18" s="24">
        <f t="shared" si="35"/>
        <v>0.82841184551814862</v>
      </c>
      <c r="S18" s="24">
        <f t="shared" si="35"/>
        <v>0.82932890155112382</v>
      </c>
      <c r="T18" s="24">
        <f t="shared" si="35"/>
        <v>0.79705591552194011</v>
      </c>
      <c r="U18" s="24">
        <f t="shared" si="35"/>
        <v>0.79918055176181368</v>
      </c>
      <c r="V18" s="24">
        <f t="shared" ref="V18:W18" si="36">+(V7+V8)/(V7+V8+V10)</f>
        <v>0.82843406134782049</v>
      </c>
      <c r="W18" s="24">
        <f t="shared" si="36"/>
        <v>0.83006406258858212</v>
      </c>
      <c r="X18" s="15"/>
      <c r="Y18" s="224">
        <f>+(Y7+Y8)/(Y7+Y8+Y10)</f>
        <v>0.82095857532413474</v>
      </c>
      <c r="Z18" s="183">
        <f t="shared" ref="Z18" si="37">+(Z7+Z8)/(Z7+Z8+Z10)</f>
        <v>0.82237984609803727</v>
      </c>
      <c r="AA18" s="15"/>
      <c r="AB18" s="24">
        <f>+(AB7+AB8)/(AB7+AB8+AB10)</f>
        <v>0.82734328358208953</v>
      </c>
      <c r="AC18" s="24">
        <f t="shared" ref="AC18:AE18" si="38">+(AC7+AC8)/(AC7+AC8+AC10)</f>
        <v>0.82853872803761441</v>
      </c>
      <c r="AD18" s="24">
        <f>+(AD7+AD8)/(AD7+AD8+AD10)</f>
        <v>0.8438878466764691</v>
      </c>
      <c r="AE18" s="24">
        <f t="shared" si="38"/>
        <v>0.84446509936250391</v>
      </c>
      <c r="AF18" s="24">
        <f>+(AF7+AF8)/(AF7+AF8+AF10)</f>
        <v>0.87704319722925583</v>
      </c>
      <c r="AG18" s="24">
        <f t="shared" ref="AG18" si="39">+(AG7+AG8)/(AG7+AG8+AG10)</f>
        <v>0.877304465765811</v>
      </c>
      <c r="AH18" s="15"/>
      <c r="AI18" s="24">
        <f>+(AI7+AI8)/(AI7+AI8+AI10)</f>
        <v>0.84966406231414682</v>
      </c>
      <c r="AJ18" s="24">
        <f>+(AJ7+AJ8)/(AJ7+AJ8+AJ10)</f>
        <v>0.85029949238578684</v>
      </c>
      <c r="AK18" s="15"/>
      <c r="AL18" s="15"/>
      <c r="AM18" s="15"/>
      <c r="AN18" s="15"/>
      <c r="AO18" s="15"/>
      <c r="AP18" s="15"/>
      <c r="AQ18" s="15"/>
    </row>
    <row r="19" spans="1:43" ht="17.25" thickBot="1" x14ac:dyDescent="0.4">
      <c r="A19" s="20"/>
      <c r="B19" s="21"/>
      <c r="C19" s="15"/>
      <c r="D19" s="22"/>
      <c r="E19" s="22"/>
      <c r="F19" s="22"/>
      <c r="G19" s="22"/>
      <c r="H19" s="22"/>
      <c r="I19" s="22"/>
      <c r="J19" s="22"/>
      <c r="K19" s="22"/>
      <c r="L19" s="22"/>
      <c r="M19" s="225"/>
      <c r="N19" s="22"/>
      <c r="O19" s="15"/>
      <c r="P19" s="22"/>
      <c r="Q19" s="22"/>
      <c r="R19" s="22"/>
      <c r="S19" s="22"/>
      <c r="T19" s="22"/>
      <c r="U19" s="22"/>
      <c r="V19" s="22"/>
      <c r="W19" s="22"/>
      <c r="X19" s="15"/>
      <c r="Y19" s="225"/>
      <c r="Z19" s="22"/>
      <c r="AA19" s="15"/>
      <c r="AB19" s="22"/>
      <c r="AC19" s="22"/>
      <c r="AD19" s="22"/>
      <c r="AE19" s="22"/>
      <c r="AF19" s="22"/>
      <c r="AG19" s="22"/>
      <c r="AH19" s="15"/>
      <c r="AI19" s="22"/>
      <c r="AJ19" s="22"/>
      <c r="AK19" s="15"/>
      <c r="AL19" s="23"/>
      <c r="AM19" s="15"/>
      <c r="AN19" s="15"/>
      <c r="AO19" s="15"/>
      <c r="AP19" s="15"/>
      <c r="AQ19" s="15"/>
    </row>
    <row r="20" spans="1:43" ht="19.5" customHeight="1" thickBot="1" x14ac:dyDescent="0.4">
      <c r="A20" s="285" t="s">
        <v>29</v>
      </c>
      <c r="B20" s="27" t="s">
        <v>30</v>
      </c>
      <c r="C20" s="15"/>
      <c r="D20" s="200"/>
      <c r="E20" s="201">
        <v>11.891999999999999</v>
      </c>
      <c r="F20" s="201"/>
      <c r="G20" s="202">
        <v>16.696999999999999</v>
      </c>
      <c r="H20" s="201"/>
      <c r="I20" s="202">
        <v>15.659000000000001</v>
      </c>
      <c r="J20" s="201"/>
      <c r="K20" s="202">
        <v>21.907</v>
      </c>
      <c r="L20" s="22"/>
      <c r="M20" s="226"/>
      <c r="N20" s="181">
        <f>+E20+G20+I20+K20</f>
        <v>66.155000000000001</v>
      </c>
      <c r="O20" s="15"/>
      <c r="P20" s="14"/>
      <c r="Q20" s="14">
        <v>18.803999999999998</v>
      </c>
      <c r="R20" s="14"/>
      <c r="S20" s="14">
        <v>26.568000000000001</v>
      </c>
      <c r="T20" s="14"/>
      <c r="U20" s="14">
        <v>18.312000000000001</v>
      </c>
      <c r="V20" s="14"/>
      <c r="W20" s="14">
        <v>30.288</v>
      </c>
      <c r="X20" s="15"/>
      <c r="Y20" s="226"/>
      <c r="Z20" s="181">
        <f>Q20+S20+U20+W20</f>
        <v>93.971999999999994</v>
      </c>
      <c r="AA20" s="15"/>
      <c r="AB20" s="14"/>
      <c r="AC20" s="14">
        <v>24.065999999999999</v>
      </c>
      <c r="AD20" s="14"/>
      <c r="AE20" s="14">
        <v>27.279</v>
      </c>
      <c r="AF20" s="14"/>
      <c r="AG20" s="14">
        <v>26.832999999999998</v>
      </c>
      <c r="AH20" s="15"/>
      <c r="AI20" s="14"/>
      <c r="AJ20" s="14">
        <f>+AC20+AE20+AG20</f>
        <v>78.177999999999997</v>
      </c>
      <c r="AK20" s="15"/>
      <c r="AL20" s="23"/>
      <c r="AM20" s="15"/>
      <c r="AN20" s="15"/>
      <c r="AO20" s="15"/>
      <c r="AP20" s="15"/>
      <c r="AQ20" s="15"/>
    </row>
    <row r="21" spans="1:43" ht="16.899999999999999" thickBot="1" x14ac:dyDescent="0.45">
      <c r="A21" s="287"/>
      <c r="B21" s="17" t="s">
        <v>31</v>
      </c>
      <c r="C21" s="18"/>
      <c r="D21" s="203"/>
      <c r="E21" s="19">
        <v>0.45300000000000001</v>
      </c>
      <c r="F21" s="26"/>
      <c r="G21" s="190">
        <v>0.64700000000000002</v>
      </c>
      <c r="H21" s="26"/>
      <c r="I21" s="190">
        <v>3.0000000000000001E-3</v>
      </c>
      <c r="J21" s="26"/>
      <c r="K21" s="190">
        <v>0.38800000000000001</v>
      </c>
      <c r="L21" s="172"/>
      <c r="M21" s="227"/>
      <c r="N21" s="182">
        <v>0.33100000000000002</v>
      </c>
      <c r="O21" s="15"/>
      <c r="P21" s="26"/>
      <c r="Q21" s="19">
        <f>(Q20-E20)/E20</f>
        <v>0.58123107971745702</v>
      </c>
      <c r="R21" s="26"/>
      <c r="S21" s="19">
        <f>(S20-G20)/G20</f>
        <v>0.5911840450380309</v>
      </c>
      <c r="T21" s="26"/>
      <c r="U21" s="19">
        <f>(U20-I20)/I20</f>
        <v>0.16942333482342425</v>
      </c>
      <c r="V21" s="26"/>
      <c r="W21" s="19">
        <f>(W20-K20)/K20</f>
        <v>0.38257178070936232</v>
      </c>
      <c r="X21" s="15"/>
      <c r="Y21" s="227"/>
      <c r="Z21" s="19">
        <f>(Z20-N20)/N20</f>
        <v>0.42048220089184479</v>
      </c>
      <c r="AA21" s="15"/>
      <c r="AB21" s="26"/>
      <c r="AC21" s="19">
        <f>(AC20-Q20)/Q20</f>
        <v>0.27983407785577541</v>
      </c>
      <c r="AD21" s="26"/>
      <c r="AE21" s="19">
        <f>(AE20-S20)/S20</f>
        <v>2.6761517615176096E-2</v>
      </c>
      <c r="AF21" s="26"/>
      <c r="AG21" s="19">
        <f>(AG20-U20)/U20</f>
        <v>0.46532328527741351</v>
      </c>
      <c r="AH21" s="15"/>
      <c r="AI21" s="26"/>
      <c r="AJ21" s="19">
        <v>0.22800000000000001</v>
      </c>
      <c r="AK21" s="15"/>
      <c r="AL21" s="23"/>
      <c r="AM21" s="15"/>
      <c r="AN21" s="15"/>
      <c r="AO21" s="15"/>
      <c r="AP21" s="15"/>
      <c r="AQ21" s="15"/>
    </row>
    <row r="22" spans="1:43" ht="17.25" thickBot="1" x14ac:dyDescent="0.4">
      <c r="A22" s="287"/>
      <c r="B22" s="27"/>
      <c r="C22" s="15"/>
      <c r="D22" s="204"/>
      <c r="E22" s="28"/>
      <c r="F22" s="28"/>
      <c r="G22" s="205"/>
      <c r="H22" s="28"/>
      <c r="I22" s="205"/>
      <c r="J22" s="28"/>
      <c r="K22" s="205"/>
      <c r="L22" s="173"/>
      <c r="M22" s="228"/>
      <c r="N22" s="184"/>
      <c r="O22" s="15"/>
      <c r="P22" s="28"/>
      <c r="Q22" s="28"/>
      <c r="R22" s="28"/>
      <c r="S22" s="28"/>
      <c r="T22" s="28"/>
      <c r="U22" s="28"/>
      <c r="V22" s="28"/>
      <c r="W22" s="28"/>
      <c r="X22" s="15"/>
      <c r="Y22" s="228"/>
      <c r="Z22" s="184"/>
      <c r="AA22" s="15"/>
      <c r="AB22" s="28"/>
      <c r="AC22" s="28"/>
      <c r="AD22" s="28"/>
      <c r="AE22" s="28"/>
      <c r="AF22" s="28"/>
      <c r="AG22" s="28"/>
      <c r="AH22" s="15"/>
      <c r="AI22" s="28"/>
      <c r="AJ22" s="28"/>
      <c r="AK22" s="15"/>
      <c r="AL22" s="23"/>
      <c r="AM22" s="15"/>
      <c r="AN22" s="15"/>
      <c r="AO22" s="15"/>
      <c r="AP22" s="15"/>
      <c r="AQ22" s="15"/>
    </row>
    <row r="23" spans="1:43" ht="17.25" thickBot="1" x14ac:dyDescent="0.4">
      <c r="A23" s="287"/>
      <c r="B23" s="27" t="s">
        <v>287</v>
      </c>
      <c r="C23" s="15"/>
      <c r="D23" s="206"/>
      <c r="E23" s="29">
        <v>47.692</v>
      </c>
      <c r="F23" s="29"/>
      <c r="G23" s="207">
        <v>62.218000000000004</v>
      </c>
      <c r="H23" s="29"/>
      <c r="I23" s="207">
        <v>66.084000000000003</v>
      </c>
      <c r="J23" s="29"/>
      <c r="K23" s="207">
        <v>82.313000000000002</v>
      </c>
      <c r="L23" s="22"/>
      <c r="M23" s="229"/>
      <c r="N23" s="181">
        <f>E23+G23+I23+K23</f>
        <v>258.30700000000002</v>
      </c>
      <c r="O23" s="15"/>
      <c r="P23" s="29"/>
      <c r="Q23" s="29">
        <v>60.981999999999999</v>
      </c>
      <c r="R23" s="29"/>
      <c r="S23" s="29">
        <v>73.058999999999997</v>
      </c>
      <c r="T23" s="29"/>
      <c r="U23" s="29">
        <v>75.438000000000002</v>
      </c>
      <c r="V23" s="29"/>
      <c r="W23" s="29">
        <v>92.632999999999996</v>
      </c>
      <c r="X23" s="15"/>
      <c r="Y23" s="229"/>
      <c r="Z23" s="181">
        <f>Q23+S23+U23+W23</f>
        <v>302.11199999999997</v>
      </c>
      <c r="AA23" s="15"/>
      <c r="AB23" s="29"/>
      <c r="AC23" s="29">
        <v>77.691000000000003</v>
      </c>
      <c r="AD23" s="29"/>
      <c r="AE23" s="29">
        <v>80.484999999999999</v>
      </c>
      <c r="AF23" s="29"/>
      <c r="AG23" s="29">
        <v>71.114999999999995</v>
      </c>
      <c r="AH23" s="15"/>
      <c r="AI23" s="29"/>
      <c r="AJ23" s="14">
        <f>+AC23+AE23+AG23</f>
        <v>229.291</v>
      </c>
      <c r="AK23" s="15"/>
      <c r="AL23" s="23"/>
      <c r="AM23" s="15"/>
      <c r="AN23" s="15"/>
      <c r="AO23" s="15"/>
      <c r="AP23" s="15"/>
      <c r="AQ23" s="15"/>
    </row>
    <row r="24" spans="1:43" s="31" customFormat="1" ht="16.899999999999999" thickBot="1" x14ac:dyDescent="0.45">
      <c r="A24" s="287"/>
      <c r="B24" s="256" t="s">
        <v>32</v>
      </c>
      <c r="C24" s="18"/>
      <c r="D24" s="208"/>
      <c r="E24" s="24">
        <v>-0.23699999999999999</v>
      </c>
      <c r="F24" s="30"/>
      <c r="G24" s="209">
        <v>1.0999999999999999E-2</v>
      </c>
      <c r="H24" s="30"/>
      <c r="I24" s="209">
        <v>-0.123</v>
      </c>
      <c r="J24" s="30"/>
      <c r="K24" s="209">
        <v>0.152</v>
      </c>
      <c r="L24" s="172"/>
      <c r="M24" s="230"/>
      <c r="N24" s="183">
        <v>-4.5999999999999999E-2</v>
      </c>
      <c r="O24" s="18"/>
      <c r="P24" s="30"/>
      <c r="Q24" s="19">
        <f>(Q23-E23)/E23</f>
        <v>0.2786630881489558</v>
      </c>
      <c r="R24" s="30"/>
      <c r="S24" s="19">
        <f>(S23-G23)/G23</f>
        <v>0.17424218071940586</v>
      </c>
      <c r="T24" s="30"/>
      <c r="U24" s="19">
        <f>(U23-I23)/I23</f>
        <v>0.14154712184492463</v>
      </c>
      <c r="V24" s="30"/>
      <c r="W24" s="19">
        <f>(W23-K23)/K23</f>
        <v>0.12537509263421323</v>
      </c>
      <c r="X24" s="18"/>
      <c r="Y24" s="230"/>
      <c r="Z24" s="19">
        <f>(Z23-N23)/N23</f>
        <v>0.16958502866743816</v>
      </c>
      <c r="AA24" s="18"/>
      <c r="AB24" s="30"/>
      <c r="AC24" s="19">
        <f>(AC23-Q23)/Q23</f>
        <v>0.27399888491686075</v>
      </c>
      <c r="AD24" s="30"/>
      <c r="AE24" s="19">
        <f>(AE23-S23)/S23</f>
        <v>0.10164387686664206</v>
      </c>
      <c r="AF24" s="30"/>
      <c r="AG24" s="19">
        <f>(AG23-U23)/U23</f>
        <v>-5.7305336832895987E-2</v>
      </c>
      <c r="AH24" s="18"/>
      <c r="AI24" s="30"/>
      <c r="AJ24" s="19">
        <v>9.5000000000000001E-2</v>
      </c>
      <c r="AK24" s="18"/>
      <c r="AL24" s="23"/>
      <c r="AM24" s="18"/>
      <c r="AN24" s="18"/>
      <c r="AO24" s="18"/>
      <c r="AP24" s="18"/>
      <c r="AQ24" s="18"/>
    </row>
    <row r="25" spans="1:43" s="31" customFormat="1" ht="16.899999999999999" thickBot="1" x14ac:dyDescent="0.45">
      <c r="A25" s="287"/>
      <c r="B25" s="272"/>
      <c r="C25" s="18"/>
      <c r="D25" s="273"/>
      <c r="E25" s="274"/>
      <c r="F25" s="275"/>
      <c r="G25" s="276"/>
      <c r="H25" s="275"/>
      <c r="I25" s="276"/>
      <c r="J25" s="275"/>
      <c r="K25" s="277"/>
      <c r="L25" s="172"/>
      <c r="M25" s="278"/>
      <c r="N25" s="279"/>
      <c r="O25" s="18"/>
      <c r="P25" s="280"/>
      <c r="Q25" s="281"/>
      <c r="R25" s="282"/>
      <c r="S25" s="283"/>
      <c r="T25" s="282"/>
      <c r="U25" s="283"/>
      <c r="V25" s="282"/>
      <c r="W25" s="283"/>
      <c r="X25" s="18"/>
      <c r="Y25" s="278"/>
      <c r="Z25" s="279"/>
      <c r="AA25" s="18"/>
      <c r="AB25" s="282"/>
      <c r="AC25" s="281"/>
      <c r="AD25" s="282"/>
      <c r="AE25" s="281"/>
      <c r="AF25" s="282"/>
      <c r="AG25" s="281"/>
      <c r="AH25" s="18"/>
      <c r="AI25" s="282"/>
      <c r="AJ25" s="281"/>
      <c r="AK25" s="18"/>
      <c r="AL25" s="23"/>
      <c r="AM25" s="18"/>
      <c r="AN25" s="18"/>
      <c r="AO25" s="18"/>
      <c r="AP25" s="18"/>
      <c r="AQ25" s="18"/>
    </row>
    <row r="26" spans="1:43" s="31" customFormat="1" ht="16.899999999999999" thickBot="1" x14ac:dyDescent="0.45">
      <c r="A26" s="287"/>
      <c r="B26" s="270" t="s">
        <v>302</v>
      </c>
      <c r="C26" s="18"/>
      <c r="D26" s="200"/>
      <c r="E26" s="200">
        <v>19.172184000000001</v>
      </c>
      <c r="F26" s="201"/>
      <c r="G26" s="200">
        <v>26.846113315084782</v>
      </c>
      <c r="H26" s="201"/>
      <c r="I26" s="200">
        <v>29.605632000000004</v>
      </c>
      <c r="J26" s="201"/>
      <c r="K26" s="253">
        <v>40.004117999999998</v>
      </c>
      <c r="L26" s="172"/>
      <c r="M26" s="201"/>
      <c r="N26" s="253">
        <v>115.72153600000001</v>
      </c>
      <c r="O26" s="172"/>
      <c r="P26" s="200"/>
      <c r="Q26" s="200">
        <v>31.222784000000001</v>
      </c>
      <c r="R26" s="201"/>
      <c r="S26" s="200">
        <v>38.420687144238322</v>
      </c>
      <c r="T26" s="201"/>
      <c r="U26" s="200">
        <v>32.966405999999999</v>
      </c>
      <c r="V26" s="201"/>
      <c r="W26" s="200">
        <v>56.320863999999993</v>
      </c>
      <c r="X26" s="172"/>
      <c r="Y26" s="201"/>
      <c r="Z26" s="253">
        <v>158.910912</v>
      </c>
      <c r="AA26" s="18"/>
      <c r="AB26" s="201"/>
      <c r="AC26" s="200">
        <v>44.983089</v>
      </c>
      <c r="AD26" s="201"/>
      <c r="AE26" s="200">
        <v>52.315249999999999</v>
      </c>
      <c r="AF26" s="201"/>
      <c r="AG26" s="200">
        <v>46.864784999999998</v>
      </c>
      <c r="AH26" s="18"/>
      <c r="AI26" s="201"/>
      <c r="AJ26" s="200">
        <v>144.224039</v>
      </c>
      <c r="AK26" s="18"/>
      <c r="AL26" s="23"/>
      <c r="AM26" s="18"/>
      <c r="AN26" s="18"/>
      <c r="AO26" s="18"/>
      <c r="AP26" s="18"/>
      <c r="AQ26" s="18"/>
    </row>
    <row r="27" spans="1:43" s="31" customFormat="1" ht="16.899999999999999" thickBot="1" x14ac:dyDescent="0.45">
      <c r="A27" s="287"/>
      <c r="B27" s="257" t="s">
        <v>32</v>
      </c>
      <c r="C27" s="18"/>
      <c r="D27" s="248"/>
      <c r="E27" s="248"/>
      <c r="F27" s="26"/>
      <c r="G27" s="248"/>
      <c r="H27" s="26"/>
      <c r="I27" s="248"/>
      <c r="J27" s="252"/>
      <c r="K27" s="255"/>
      <c r="L27" s="172"/>
      <c r="M27" s="252"/>
      <c r="N27" s="255"/>
      <c r="O27" s="172"/>
      <c r="P27" s="248"/>
      <c r="Q27" s="19">
        <f>+Q26/E26-1</f>
        <v>0.62854602271707805</v>
      </c>
      <c r="R27" s="26"/>
      <c r="S27" s="19">
        <f>+S26/G26-1</f>
        <v>0.43114523481690759</v>
      </c>
      <c r="T27" s="26"/>
      <c r="U27" s="19">
        <f>+U26/I26-1</f>
        <v>0.11351806304962508</v>
      </c>
      <c r="V27" s="26"/>
      <c r="W27" s="251">
        <f>+W26/K26-1</f>
        <v>0.40787665909794568</v>
      </c>
      <c r="X27" s="172"/>
      <c r="Y27" s="252"/>
      <c r="Z27" s="254">
        <f>+Z26/N26-1</f>
        <v>0.37321813633721534</v>
      </c>
      <c r="AA27" s="18"/>
      <c r="AB27" s="26"/>
      <c r="AC27" s="251">
        <f>+AC26/Q26-1</f>
        <v>0.44071358274777794</v>
      </c>
      <c r="AD27" s="26"/>
      <c r="AE27" s="251">
        <f>+AE26/S26-1</f>
        <v>0.36164274739800817</v>
      </c>
      <c r="AF27" s="26"/>
      <c r="AG27" s="251">
        <f>+AG26/U26-1</f>
        <v>0.42159218084009509</v>
      </c>
      <c r="AH27" s="18"/>
      <c r="AI27" s="26"/>
      <c r="AJ27" s="251">
        <f>+AJ26/(Q26+S26+U26)-1</f>
        <v>0.40555707709565647</v>
      </c>
      <c r="AK27" s="18"/>
      <c r="AL27" s="23"/>
      <c r="AM27" s="18"/>
      <c r="AN27" s="18"/>
      <c r="AO27" s="18"/>
      <c r="AP27" s="18"/>
      <c r="AQ27" s="18"/>
    </row>
    <row r="28" spans="1:43" s="31" customFormat="1" ht="16.899999999999999" thickBot="1" x14ac:dyDescent="0.45">
      <c r="A28" s="287"/>
      <c r="B28" s="270" t="s">
        <v>228</v>
      </c>
      <c r="C28" s="18"/>
      <c r="D28" s="249"/>
      <c r="E28" s="19">
        <f>+E26/E23</f>
        <v>0.40200000000000002</v>
      </c>
      <c r="F28" s="28"/>
      <c r="G28" s="19">
        <f>+G26/G23</f>
        <v>0.43148467188088302</v>
      </c>
      <c r="H28" s="28"/>
      <c r="I28" s="19">
        <f>+I26/I23</f>
        <v>0.44800000000000001</v>
      </c>
      <c r="J28" s="250"/>
      <c r="K28" s="19">
        <f>+K26/K23</f>
        <v>0.48599999999999999</v>
      </c>
      <c r="L28" s="172"/>
      <c r="M28" s="250"/>
      <c r="N28" s="19">
        <f>+N26/N23</f>
        <v>0.44800000000000001</v>
      </c>
      <c r="O28" s="172"/>
      <c r="P28" s="249"/>
      <c r="Q28" s="19">
        <f>+Q26/Q23</f>
        <v>0.51200000000000001</v>
      </c>
      <c r="R28" s="28"/>
      <c r="S28" s="19">
        <f>+S26/S23</f>
        <v>0.52588575184766184</v>
      </c>
      <c r="T28" s="28"/>
      <c r="U28" s="19">
        <f>+U26/U23</f>
        <v>0.437</v>
      </c>
      <c r="V28" s="250"/>
      <c r="W28" s="19">
        <f>+W26/W23</f>
        <v>0.60799999999999998</v>
      </c>
      <c r="X28" s="172"/>
      <c r="Y28" s="250"/>
      <c r="Z28" s="19">
        <f>+Z26/Z23</f>
        <v>0.52600000000000002</v>
      </c>
      <c r="AA28" s="18"/>
      <c r="AB28" s="250"/>
      <c r="AC28" s="19">
        <f>+AC26/AC23</f>
        <v>0.57899999999999996</v>
      </c>
      <c r="AD28" s="250"/>
      <c r="AE28" s="19">
        <f>+AE26/AE23</f>
        <v>0.65</v>
      </c>
      <c r="AF28" s="250"/>
      <c r="AG28" s="19">
        <f>+AG26/AG23</f>
        <v>0.65900000000000003</v>
      </c>
      <c r="AH28" s="18"/>
      <c r="AI28" s="250"/>
      <c r="AJ28" s="19">
        <f>+AJ26/AJ23</f>
        <v>0.629</v>
      </c>
      <c r="AK28" s="18"/>
      <c r="AL28" s="23"/>
      <c r="AM28" s="18"/>
      <c r="AN28" s="18"/>
      <c r="AO28" s="18"/>
      <c r="AP28" s="18"/>
      <c r="AQ28" s="18"/>
    </row>
    <row r="29" spans="1:43" s="31" customFormat="1" ht="16.899999999999999" thickBot="1" x14ac:dyDescent="0.45">
      <c r="A29" s="287"/>
      <c r="B29" s="257"/>
      <c r="C29" s="18"/>
      <c r="D29" s="258"/>
      <c r="E29" s="258"/>
      <c r="F29" s="14"/>
      <c r="G29" s="258"/>
      <c r="H29" s="14"/>
      <c r="I29" s="258"/>
      <c r="J29" s="259"/>
      <c r="K29" s="260"/>
      <c r="L29" s="172"/>
      <c r="M29" s="259"/>
      <c r="N29" s="260"/>
      <c r="O29" s="172"/>
      <c r="P29" s="258"/>
      <c r="Q29" s="258"/>
      <c r="R29" s="14"/>
      <c r="S29" s="258"/>
      <c r="T29" s="14"/>
      <c r="U29" s="258"/>
      <c r="V29" s="259"/>
      <c r="W29" s="260"/>
      <c r="X29" s="172"/>
      <c r="Y29" s="259"/>
      <c r="Z29" s="260"/>
      <c r="AA29" s="18"/>
      <c r="AB29" s="259"/>
      <c r="AC29" s="260"/>
      <c r="AD29" s="259"/>
      <c r="AE29" s="260"/>
      <c r="AF29" s="259"/>
      <c r="AG29" s="260"/>
      <c r="AH29" s="18"/>
      <c r="AI29" s="259"/>
      <c r="AJ29" s="260"/>
      <c r="AK29" s="18"/>
      <c r="AL29" s="23"/>
      <c r="AM29" s="18"/>
      <c r="AN29" s="18"/>
      <c r="AO29" s="18"/>
      <c r="AP29" s="18"/>
      <c r="AQ29" s="18"/>
    </row>
    <row r="30" spans="1:43" s="31" customFormat="1" ht="16.899999999999999" thickBot="1" x14ac:dyDescent="0.45">
      <c r="A30" s="287"/>
      <c r="B30" s="270" t="s">
        <v>301</v>
      </c>
      <c r="C30" s="18"/>
      <c r="D30" s="203"/>
      <c r="E30" s="203">
        <f>E23-E26</f>
        <v>28.519815999999999</v>
      </c>
      <c r="F30" s="26"/>
      <c r="G30" s="203">
        <f>G23-G26</f>
        <v>35.371886684915225</v>
      </c>
      <c r="H30" s="26"/>
      <c r="I30" s="203">
        <f>I23-I26</f>
        <v>36.478368000000003</v>
      </c>
      <c r="J30" s="26"/>
      <c r="K30" s="261">
        <f>K23-K26</f>
        <v>42.308882000000004</v>
      </c>
      <c r="L30" s="172"/>
      <c r="M30" s="26"/>
      <c r="N30" s="261">
        <f>N23-N26</f>
        <v>142.585464</v>
      </c>
      <c r="O30" s="172"/>
      <c r="P30" s="203"/>
      <c r="Q30" s="203">
        <f>Q23-Q26</f>
        <v>29.759215999999999</v>
      </c>
      <c r="R30" s="26"/>
      <c r="S30" s="203">
        <f>S23-S26</f>
        <v>34.638312855761676</v>
      </c>
      <c r="T30" s="26"/>
      <c r="U30" s="203">
        <f>U23-U26</f>
        <v>42.471594000000003</v>
      </c>
      <c r="V30" s="26"/>
      <c r="W30" s="261">
        <f>W23-W26</f>
        <v>36.312136000000002</v>
      </c>
      <c r="X30" s="172"/>
      <c r="Y30" s="26"/>
      <c r="Z30" s="261">
        <f>Z23-Z26</f>
        <v>143.20108799999997</v>
      </c>
      <c r="AA30" s="18"/>
      <c r="AB30" s="26"/>
      <c r="AC30" s="261">
        <f>AC23-AC26</f>
        <v>32.707911000000003</v>
      </c>
      <c r="AD30" s="26"/>
      <c r="AE30" s="261">
        <f>AE23-AE26</f>
        <v>28.169750000000001</v>
      </c>
      <c r="AF30" s="26"/>
      <c r="AG30" s="261">
        <f>AG23-AG26</f>
        <v>24.250214999999997</v>
      </c>
      <c r="AH30" s="18"/>
      <c r="AI30" s="26"/>
      <c r="AJ30" s="261">
        <f>AJ23-AJ26</f>
        <v>85.066960999999992</v>
      </c>
      <c r="AK30" s="18"/>
      <c r="AL30" s="23"/>
      <c r="AM30" s="18"/>
      <c r="AN30" s="18"/>
      <c r="AO30" s="18"/>
      <c r="AP30" s="18"/>
      <c r="AQ30" s="18"/>
    </row>
    <row r="31" spans="1:43" s="31" customFormat="1" ht="16.899999999999999" thickBot="1" x14ac:dyDescent="0.45">
      <c r="A31" s="287"/>
      <c r="B31" s="271" t="s">
        <v>32</v>
      </c>
      <c r="C31" s="18"/>
      <c r="D31" s="262"/>
      <c r="E31" s="262"/>
      <c r="F31" s="192"/>
      <c r="G31" s="262"/>
      <c r="H31" s="192"/>
      <c r="I31" s="262"/>
      <c r="J31" s="192"/>
      <c r="K31" s="262"/>
      <c r="L31" s="172"/>
      <c r="M31" s="192"/>
      <c r="N31" s="262"/>
      <c r="O31" s="172"/>
      <c r="P31" s="263"/>
      <c r="Q31" s="251">
        <f>+Q30/E30-1</f>
        <v>4.345750337239207E-2</v>
      </c>
      <c r="R31" s="251"/>
      <c r="S31" s="251">
        <f>+S30/G30-1</f>
        <v>-2.0738894582809753E-2</v>
      </c>
      <c r="T31" s="251"/>
      <c r="U31" s="251">
        <f>+U30/I30-1</f>
        <v>0.16429534347589225</v>
      </c>
      <c r="V31" s="251"/>
      <c r="W31" s="251">
        <f>+W30/K30-1</f>
        <v>-0.14173728343849878</v>
      </c>
      <c r="X31" s="172"/>
      <c r="Y31" s="251"/>
      <c r="Z31" s="251">
        <f>+Z30/N30-1</f>
        <v>4.317578964430524E-3</v>
      </c>
      <c r="AA31" s="18"/>
      <c r="AB31" s="251"/>
      <c r="AC31" s="251">
        <f>+AC30/Q30-1</f>
        <v>9.9085103586062262E-2</v>
      </c>
      <c r="AD31" s="251"/>
      <c r="AE31" s="251">
        <f>+AE30/S30-1</f>
        <v>-0.18674589847079415</v>
      </c>
      <c r="AF31" s="251"/>
      <c r="AG31" s="251">
        <f>+AG30/U30-1</f>
        <v>-0.42902507968031534</v>
      </c>
      <c r="AH31" s="18"/>
      <c r="AI31" s="251"/>
      <c r="AJ31" s="251">
        <f>+AJ30/(Q30+S30+U30)-1</f>
        <v>-0.20400805464818372</v>
      </c>
      <c r="AK31" s="18"/>
      <c r="AL31" s="23"/>
      <c r="AM31" s="18"/>
      <c r="AN31" s="18"/>
      <c r="AO31" s="18"/>
      <c r="AP31" s="18"/>
      <c r="AQ31" s="18"/>
    </row>
    <row r="32" spans="1:43" s="31" customFormat="1" ht="16.899999999999999" thickBot="1" x14ac:dyDescent="0.45">
      <c r="A32" s="286"/>
      <c r="B32" s="264" t="s">
        <v>303</v>
      </c>
      <c r="C32" s="18"/>
      <c r="D32" s="265"/>
      <c r="E32" s="266">
        <f>1-E28</f>
        <v>0.59799999999999998</v>
      </c>
      <c r="F32" s="267"/>
      <c r="G32" s="266">
        <f>1-G28</f>
        <v>0.56851532811911698</v>
      </c>
      <c r="H32" s="267"/>
      <c r="I32" s="266">
        <f>1-I28</f>
        <v>0.55200000000000005</v>
      </c>
      <c r="J32" s="267"/>
      <c r="K32" s="268">
        <f>1-K28</f>
        <v>0.51400000000000001</v>
      </c>
      <c r="L32" s="172"/>
      <c r="M32" s="265"/>
      <c r="N32" s="268">
        <f>1-N28</f>
        <v>0.55200000000000005</v>
      </c>
      <c r="O32" s="18"/>
      <c r="P32" s="265"/>
      <c r="Q32" s="266">
        <f>1-Q28</f>
        <v>0.48799999999999999</v>
      </c>
      <c r="R32" s="269"/>
      <c r="S32" s="266">
        <f>1-S28</f>
        <v>0.47411424815233816</v>
      </c>
      <c r="T32" s="269"/>
      <c r="U32" s="266">
        <f>1-U28</f>
        <v>0.56299999999999994</v>
      </c>
      <c r="V32" s="269"/>
      <c r="W32" s="268">
        <f>1-W28</f>
        <v>0.39200000000000002</v>
      </c>
      <c r="X32" s="18"/>
      <c r="Y32" s="265"/>
      <c r="Z32" s="268">
        <f>1-Z28</f>
        <v>0.47399999999999998</v>
      </c>
      <c r="AA32" s="18"/>
      <c r="AB32" s="265"/>
      <c r="AC32" s="266">
        <f>1-AC28</f>
        <v>0.42100000000000004</v>
      </c>
      <c r="AD32" s="269"/>
      <c r="AE32" s="266">
        <f>1-AE28</f>
        <v>0.35</v>
      </c>
      <c r="AF32" s="269"/>
      <c r="AG32" s="268">
        <f>1-AG28</f>
        <v>0.34099999999999997</v>
      </c>
      <c r="AH32" s="18"/>
      <c r="AI32" s="265"/>
      <c r="AJ32" s="268">
        <f>1-AJ28</f>
        <v>0.371</v>
      </c>
      <c r="AK32" s="18"/>
      <c r="AL32" s="23"/>
      <c r="AM32" s="18"/>
      <c r="AN32" s="18"/>
      <c r="AO32" s="18"/>
      <c r="AP32" s="18"/>
      <c r="AQ32" s="18"/>
    </row>
    <row r="33" spans="1:43" ht="25.15" customHeight="1" thickBot="1" x14ac:dyDescent="0.45">
      <c r="A33" s="32"/>
      <c r="B33" s="33"/>
      <c r="C33" s="15"/>
      <c r="D33" s="15"/>
      <c r="E33" s="15"/>
      <c r="F33" s="15"/>
      <c r="G33" s="15"/>
      <c r="H33" s="15"/>
      <c r="I33" s="15"/>
      <c r="J33" s="15"/>
      <c r="K33" s="15"/>
      <c r="L33" s="15"/>
      <c r="M33" s="15"/>
      <c r="N33" s="15"/>
      <c r="O33" s="15"/>
      <c r="P33" s="15"/>
      <c r="Q33" s="15"/>
      <c r="R33" s="15"/>
      <c r="S33" s="15"/>
      <c r="T33" s="15"/>
      <c r="U33" s="15"/>
      <c r="V33" s="15"/>
      <c r="W33" s="15"/>
      <c r="X33" s="15"/>
      <c r="Y33" s="15"/>
      <c r="Z33" s="231"/>
      <c r="AA33" s="15"/>
      <c r="AB33" s="15"/>
      <c r="AC33" s="15"/>
      <c r="AD33" s="15"/>
      <c r="AE33" s="15"/>
      <c r="AF33" s="15"/>
      <c r="AG33" s="15"/>
      <c r="AH33" s="15"/>
      <c r="AI33" s="15"/>
      <c r="AJ33" s="15"/>
      <c r="AK33" s="15"/>
      <c r="AL33" s="15"/>
      <c r="AM33" s="15"/>
      <c r="AN33" s="15"/>
      <c r="AO33" s="15"/>
      <c r="AP33" s="15"/>
      <c r="AQ33" s="15"/>
    </row>
    <row r="34" spans="1:43" ht="19.5" customHeight="1" thickBot="1" x14ac:dyDescent="0.4">
      <c r="A34" s="285" t="s">
        <v>33</v>
      </c>
      <c r="B34" s="27" t="s">
        <v>34</v>
      </c>
      <c r="C34" s="15"/>
      <c r="D34" s="200">
        <f>+'Cloud Metrics'!B10</f>
        <v>55.019999999999996</v>
      </c>
      <c r="E34" s="201">
        <f>+'Cloud Metrics'!B22</f>
        <v>58.227000000000004</v>
      </c>
      <c r="F34" s="201">
        <f>+'Cloud Metrics'!C10</f>
        <v>62.557000000000002</v>
      </c>
      <c r="G34" s="202">
        <f>+'Cloud Metrics'!C22</f>
        <v>65.575000000000003</v>
      </c>
      <c r="H34" s="201">
        <f>+'Cloud Metrics'!D10</f>
        <v>73.867000000000004</v>
      </c>
      <c r="I34" s="202">
        <f>+'Cloud Metrics'!D22</f>
        <v>76.033999999999992</v>
      </c>
      <c r="J34" s="201">
        <f>+'Cloud Metrics'!E10</f>
        <v>85.966999999999999</v>
      </c>
      <c r="K34" s="202">
        <f>+'Cloud Metrics'!E22</f>
        <v>87.738</v>
      </c>
      <c r="L34" s="22"/>
      <c r="M34" s="200">
        <f>+'Cloud Metrics'!G10</f>
        <v>277.411</v>
      </c>
      <c r="N34" s="202">
        <f>+'Cloud Metrics'!G22</f>
        <v>287.57400000000001</v>
      </c>
      <c r="O34" s="15"/>
      <c r="P34" s="14">
        <f>+'Cloud Metrics'!I10</f>
        <v>80.05</v>
      </c>
      <c r="Q34" s="14">
        <f>+'Cloud Metrics'!I22</f>
        <v>81.081000000000003</v>
      </c>
      <c r="R34" s="14">
        <f>+'Cloud Metrics'!J10</f>
        <v>93.256</v>
      </c>
      <c r="S34" s="14">
        <f>+'Cloud Metrics'!J22</f>
        <v>94.26</v>
      </c>
      <c r="T34" s="14">
        <f>+'Cloud Metrics'!K10</f>
        <v>98.461000000000013</v>
      </c>
      <c r="U34" s="14">
        <f>+'Cloud Metrics'!K22</f>
        <v>100.55799999999999</v>
      </c>
      <c r="V34" s="14">
        <f>+'Cloud Metrics'!L10</f>
        <v>116.64500000000001</v>
      </c>
      <c r="W34" s="14">
        <f>+'Cloud Metrics'!L22</f>
        <v>118.646</v>
      </c>
      <c r="X34" s="15"/>
      <c r="Y34" s="200">
        <f>+'Cloud Metrics'!N10</f>
        <v>388.41200000000003</v>
      </c>
      <c r="Z34" s="202">
        <f>+'Cloud Metrics'!N22</f>
        <v>394.54500000000002</v>
      </c>
      <c r="AA34" s="15"/>
      <c r="AB34" s="14">
        <f>+'Cloud Metrics'!P10</f>
        <v>110.64299999999999</v>
      </c>
      <c r="AC34" s="14">
        <f>+'Cloud Metrics'!P22</f>
        <v>111.97199999999999</v>
      </c>
      <c r="AD34" s="14">
        <f>+'Cloud Metrics'!Q10</f>
        <v>118.33200000000001</v>
      </c>
      <c r="AE34" s="14">
        <f>+'Cloud Metrics'!Q22</f>
        <v>119.06400000000001</v>
      </c>
      <c r="AF34" s="14">
        <f>+'Cloud Metrics'!R10</f>
        <v>131.22300000000001</v>
      </c>
      <c r="AG34" s="14">
        <f>+'Cloud Metrics'!R22</f>
        <v>131.64600000000002</v>
      </c>
      <c r="AH34" s="15"/>
      <c r="AI34" s="14">
        <f>+'Cloud Metrics'!T10</f>
        <v>360.19800000000004</v>
      </c>
      <c r="AJ34" s="14">
        <f>+'Cloud Metrics'!T22</f>
        <v>362.68200000000002</v>
      </c>
      <c r="AK34" s="15"/>
      <c r="AL34" s="303" t="s">
        <v>138</v>
      </c>
      <c r="AM34" s="15"/>
      <c r="AN34" s="15"/>
      <c r="AO34" s="15"/>
      <c r="AP34" s="15"/>
      <c r="AQ34" s="15"/>
    </row>
    <row r="35" spans="1:43" ht="17.25" thickBot="1" x14ac:dyDescent="0.4">
      <c r="A35" s="287"/>
      <c r="B35" s="27" t="s">
        <v>35</v>
      </c>
      <c r="C35" s="15"/>
      <c r="D35" s="187">
        <f>+'Cloud Metrics'!B7</f>
        <v>33.393000000000001</v>
      </c>
      <c r="E35" s="14">
        <f>+'Cloud Metrics'!B19</f>
        <v>36.274999999999999</v>
      </c>
      <c r="F35" s="14">
        <f>+'Cloud Metrics'!C7</f>
        <v>35.817999999999998</v>
      </c>
      <c r="G35" s="188">
        <f>+'Cloud Metrics'!C19</f>
        <v>38.524000000000001</v>
      </c>
      <c r="H35" s="14">
        <f>+'Cloud Metrics'!D7</f>
        <v>37.405999999999999</v>
      </c>
      <c r="I35" s="188">
        <f>+'Cloud Metrics'!D19</f>
        <v>39.302999999999997</v>
      </c>
      <c r="J35" s="14">
        <f>+'Cloud Metrics'!E7</f>
        <v>39.344999999999999</v>
      </c>
      <c r="K35" s="188">
        <f>+'Cloud Metrics'!E19</f>
        <v>40.847999999999999</v>
      </c>
      <c r="L35" s="22"/>
      <c r="M35" s="187">
        <f>+'Cloud Metrics'!G7</f>
        <v>145.96199999999999</v>
      </c>
      <c r="N35" s="188">
        <f>+'Cloud Metrics'!G19</f>
        <v>154.94999999999999</v>
      </c>
      <c r="O35" s="15"/>
      <c r="P35" s="14">
        <f>+'Cloud Metrics'!I7</f>
        <v>39.308999999999997</v>
      </c>
      <c r="Q35" s="14">
        <f>+'Cloud Metrics'!I19</f>
        <v>40.091000000000001</v>
      </c>
      <c r="R35" s="14">
        <f>+'Cloud Metrics'!J7</f>
        <v>42.94</v>
      </c>
      <c r="S35" s="14">
        <f>+'Cloud Metrics'!J19</f>
        <v>43.811999999999998</v>
      </c>
      <c r="T35" s="14">
        <f>+'Cloud Metrics'!K7</f>
        <v>48.39</v>
      </c>
      <c r="U35" s="14">
        <f>+'Cloud Metrics'!K19</f>
        <v>50.374000000000002</v>
      </c>
      <c r="V35" s="14">
        <f>+'Cloud Metrics'!L7</f>
        <v>52.396000000000001</v>
      </c>
      <c r="W35" s="14">
        <f>+'Cloud Metrics'!L19</f>
        <v>54.316000000000003</v>
      </c>
      <c r="X35" s="15"/>
      <c r="Y35" s="187">
        <f>+'Cloud Metrics'!N7</f>
        <v>183.03500000000003</v>
      </c>
      <c r="Z35" s="188">
        <f>+'Cloud Metrics'!N19</f>
        <v>188.59299999999999</v>
      </c>
      <c r="AA35" s="15"/>
      <c r="AB35" s="14">
        <f>+'Cloud Metrics'!P7</f>
        <v>49.284999999999997</v>
      </c>
      <c r="AC35" s="14">
        <f>+'Cloud Metrics'!P19</f>
        <v>50.554000000000002</v>
      </c>
      <c r="AD35" s="14">
        <f>+'Cloud Metrics'!Q7</f>
        <v>54.679000000000002</v>
      </c>
      <c r="AE35" s="14">
        <f>+'Cloud Metrics'!Q19</f>
        <v>55.359000000000002</v>
      </c>
      <c r="AF35" s="14">
        <f>+'Cloud Metrics'!R7</f>
        <v>57.040999999999997</v>
      </c>
      <c r="AG35" s="14">
        <f>+'Cloud Metrics'!R19</f>
        <v>57.414999999999999</v>
      </c>
      <c r="AH35" s="15"/>
      <c r="AI35" s="14">
        <f>+'Cloud Metrics'!T7</f>
        <v>161.005</v>
      </c>
      <c r="AJ35" s="14">
        <f>+'Cloud Metrics'!T19</f>
        <v>163.328</v>
      </c>
      <c r="AK35" s="15"/>
      <c r="AL35" s="304"/>
      <c r="AM35" s="15"/>
      <c r="AN35" s="15"/>
      <c r="AO35" s="15"/>
      <c r="AP35" s="15"/>
      <c r="AQ35" s="15"/>
    </row>
    <row r="36" spans="1:43" ht="17.25" thickBot="1" x14ac:dyDescent="0.4">
      <c r="A36" s="287"/>
      <c r="B36" s="27" t="s">
        <v>36</v>
      </c>
      <c r="C36" s="15"/>
      <c r="D36" s="187">
        <f>+'Cloud Metrics'!B8</f>
        <v>7.4950000000000001</v>
      </c>
      <c r="E36" s="14">
        <f>+'Cloud Metrics'!B20</f>
        <v>7.5389999999999997</v>
      </c>
      <c r="F36" s="14">
        <f>+'Cloud Metrics'!C8</f>
        <v>12.411</v>
      </c>
      <c r="G36" s="188">
        <f>+'Cloud Metrics'!C20</f>
        <v>12.455</v>
      </c>
      <c r="H36" s="14">
        <f>+'Cloud Metrics'!D8</f>
        <v>21.577000000000002</v>
      </c>
      <c r="I36" s="188">
        <f>+'Cloud Metrics'!D20</f>
        <v>21.623999999999999</v>
      </c>
      <c r="J36" s="14">
        <f>+'Cloud Metrics'!E8</f>
        <v>30.507000000000001</v>
      </c>
      <c r="K36" s="188">
        <f>+'Cloud Metrics'!E20</f>
        <v>30.548999999999999</v>
      </c>
      <c r="L36" s="22"/>
      <c r="M36" s="187">
        <f>+'Cloud Metrics'!G8</f>
        <v>71.990000000000009</v>
      </c>
      <c r="N36" s="188">
        <f>+'Cloud Metrics'!G20</f>
        <v>72.167000000000002</v>
      </c>
      <c r="O36" s="15"/>
      <c r="P36" s="14">
        <f>+'Cloud Metrics'!I8</f>
        <v>24.283000000000001</v>
      </c>
      <c r="Q36" s="14">
        <f>+'Cloud Metrics'!I20</f>
        <v>24.344999999999999</v>
      </c>
      <c r="R36" s="14">
        <f>+'Cloud Metrics'!J8</f>
        <v>33.444000000000003</v>
      </c>
      <c r="S36" s="14">
        <f>+'Cloud Metrics'!J20</f>
        <v>33.444000000000003</v>
      </c>
      <c r="T36" s="14">
        <f>+'Cloud Metrics'!K8</f>
        <v>33.713000000000001</v>
      </c>
      <c r="U36" s="14">
        <f>+'Cloud Metrics'!K20</f>
        <v>33.713999999999999</v>
      </c>
      <c r="V36" s="14">
        <f>+'Cloud Metrics'!L8</f>
        <v>48.289000000000001</v>
      </c>
      <c r="W36" s="14">
        <f>+'Cloud Metrics'!L20</f>
        <v>48.289000000000001</v>
      </c>
      <c r="X36" s="15"/>
      <c r="Y36" s="187">
        <f>+'Cloud Metrics'!N8</f>
        <v>139.72899999999998</v>
      </c>
      <c r="Z36" s="188">
        <f>+'Cloud Metrics'!N20</f>
        <v>139.792</v>
      </c>
      <c r="AA36" s="15"/>
      <c r="AB36" s="14">
        <f>+'Cloud Metrics'!P8</f>
        <v>45.445</v>
      </c>
      <c r="AC36" s="14">
        <f>+'Cloud Metrics'!P20</f>
        <v>45.445</v>
      </c>
      <c r="AD36" s="14">
        <f>+'Cloud Metrics'!Q8</f>
        <v>47.875</v>
      </c>
      <c r="AE36" s="14">
        <f>+'Cloud Metrics'!Q20</f>
        <v>47.875</v>
      </c>
      <c r="AF36" s="14">
        <f>+'Cloud Metrics'!R8</f>
        <v>58.746000000000002</v>
      </c>
      <c r="AG36" s="14">
        <f>+'Cloud Metrics'!R20</f>
        <v>58.746000000000002</v>
      </c>
      <c r="AH36" s="15"/>
      <c r="AI36" s="14">
        <f>+'Cloud Metrics'!T8</f>
        <v>152.066</v>
      </c>
      <c r="AJ36" s="14">
        <f>+'Cloud Metrics'!T20</f>
        <v>152.066</v>
      </c>
      <c r="AK36" s="15"/>
      <c r="AL36" s="304"/>
      <c r="AM36" s="15"/>
      <c r="AN36" s="15"/>
      <c r="AO36" s="15"/>
      <c r="AP36" s="15"/>
      <c r="AQ36" s="15"/>
    </row>
    <row r="37" spans="1:43" ht="17.25" thickBot="1" x14ac:dyDescent="0.4">
      <c r="A37" s="287"/>
      <c r="B37" s="34" t="s">
        <v>37</v>
      </c>
      <c r="C37" s="15"/>
      <c r="D37" s="187">
        <f>+'Cloud Metrics'!B9</f>
        <v>14.132</v>
      </c>
      <c r="E37" s="14">
        <f>+'Cloud Metrics'!B21</f>
        <v>14.413</v>
      </c>
      <c r="F37" s="14">
        <f>+'Cloud Metrics'!C9</f>
        <v>14.327999999999999</v>
      </c>
      <c r="G37" s="188">
        <f>+'Cloud Metrics'!C21</f>
        <v>14.596</v>
      </c>
      <c r="H37" s="14">
        <f>+'Cloud Metrics'!D9</f>
        <v>14.884</v>
      </c>
      <c r="I37" s="188">
        <f>+'Cloud Metrics'!D21</f>
        <v>15.106999999999999</v>
      </c>
      <c r="J37" s="14">
        <f>+'Cloud Metrics'!E9</f>
        <v>16.114999999999998</v>
      </c>
      <c r="K37" s="188">
        <f>+'Cloud Metrics'!E21</f>
        <v>16.341000000000001</v>
      </c>
      <c r="L37" s="22"/>
      <c r="M37" s="187">
        <f>+'Cloud Metrics'!G9</f>
        <v>59.459000000000003</v>
      </c>
      <c r="N37" s="188">
        <f>+'Cloud Metrics'!G21</f>
        <v>60.457000000000001</v>
      </c>
      <c r="O37" s="15"/>
      <c r="P37" s="14">
        <f>+'Cloud Metrics'!I9</f>
        <v>16.457999999999998</v>
      </c>
      <c r="Q37" s="14">
        <f>+'Cloud Metrics'!I21</f>
        <v>16.645</v>
      </c>
      <c r="R37" s="14">
        <f>+'Cloud Metrics'!J9</f>
        <v>16.872</v>
      </c>
      <c r="S37" s="14">
        <f>+'Cloud Metrics'!J21</f>
        <v>17.004000000000001</v>
      </c>
      <c r="T37" s="14">
        <f>+'Cloud Metrics'!K9</f>
        <v>16.358000000000001</v>
      </c>
      <c r="U37" s="14">
        <f>+'Cloud Metrics'!K21</f>
        <v>16.47</v>
      </c>
      <c r="V37" s="14">
        <f>+'Cloud Metrics'!L9</f>
        <v>15.96</v>
      </c>
      <c r="W37" s="14">
        <f>+'Cloud Metrics'!L21</f>
        <v>16.041</v>
      </c>
      <c r="X37" s="15"/>
      <c r="Y37" s="187">
        <f>+'Cloud Metrics'!N9</f>
        <v>65.647999999999996</v>
      </c>
      <c r="Z37" s="188">
        <f>+'Cloud Metrics'!N21</f>
        <v>66.16</v>
      </c>
      <c r="AA37" s="15"/>
      <c r="AB37" s="14">
        <f>+'Cloud Metrics'!P9</f>
        <v>15.913</v>
      </c>
      <c r="AC37" s="14">
        <f>+'Cloud Metrics'!P21</f>
        <v>15.973000000000001</v>
      </c>
      <c r="AD37" s="14">
        <f>+'Cloud Metrics'!Q9</f>
        <v>15.778</v>
      </c>
      <c r="AE37" s="14">
        <f>+'Cloud Metrics'!Q21</f>
        <v>15.83</v>
      </c>
      <c r="AF37" s="14">
        <f>+'Cloud Metrics'!R9</f>
        <v>15.436</v>
      </c>
      <c r="AG37" s="14">
        <f>+'Cloud Metrics'!R21</f>
        <v>15.484999999999999</v>
      </c>
      <c r="AH37" s="15"/>
      <c r="AI37" s="14">
        <f>+'Cloud Metrics'!T9</f>
        <v>47.127000000000002</v>
      </c>
      <c r="AJ37" s="14">
        <f>+'Cloud Metrics'!T21</f>
        <v>47.287999999999997</v>
      </c>
      <c r="AK37" s="15"/>
      <c r="AL37" s="304"/>
      <c r="AM37" s="15"/>
      <c r="AN37" s="15"/>
      <c r="AO37" s="15"/>
      <c r="AP37" s="15"/>
      <c r="AQ37" s="15"/>
    </row>
    <row r="38" spans="1:43" ht="17.25" thickBot="1" x14ac:dyDescent="0.4">
      <c r="A38" s="287"/>
      <c r="B38" s="34"/>
      <c r="C38" s="15"/>
      <c r="D38" s="187"/>
      <c r="E38" s="14"/>
      <c r="F38" s="14"/>
      <c r="G38" s="188"/>
      <c r="H38" s="14"/>
      <c r="I38" s="188"/>
      <c r="J38" s="14"/>
      <c r="K38" s="188"/>
      <c r="L38" s="22"/>
      <c r="M38" s="187"/>
      <c r="N38" s="188"/>
      <c r="O38" s="15"/>
      <c r="P38" s="14"/>
      <c r="Q38" s="14"/>
      <c r="R38" s="14"/>
      <c r="S38" s="14"/>
      <c r="T38" s="14"/>
      <c r="U38" s="14"/>
      <c r="V38" s="14"/>
      <c r="W38" s="14"/>
      <c r="X38" s="15"/>
      <c r="Y38" s="187"/>
      <c r="Z38" s="188"/>
      <c r="AA38" s="15"/>
      <c r="AB38" s="14"/>
      <c r="AC38" s="14"/>
      <c r="AD38" s="14"/>
      <c r="AE38" s="14"/>
      <c r="AF38" s="14"/>
      <c r="AG38" s="14"/>
      <c r="AH38" s="15"/>
      <c r="AI38" s="14"/>
      <c r="AJ38" s="14"/>
      <c r="AK38" s="15"/>
      <c r="AL38" s="304"/>
      <c r="AM38" s="15"/>
      <c r="AN38" s="15"/>
      <c r="AO38" s="15"/>
      <c r="AP38" s="15"/>
      <c r="AQ38" s="15"/>
    </row>
    <row r="39" spans="1:43" s="31" customFormat="1" ht="16.899999999999999" thickBot="1" x14ac:dyDescent="0.45">
      <c r="A39" s="287"/>
      <c r="B39" s="17" t="s">
        <v>38</v>
      </c>
      <c r="C39" s="18"/>
      <c r="D39" s="189">
        <v>0.15102194514759124</v>
      </c>
      <c r="E39" s="19">
        <v>3.1570555407919275E-2</v>
      </c>
      <c r="F39" s="232">
        <v>0.27904884581569861</v>
      </c>
      <c r="G39" s="233">
        <v>0.17461085138015664</v>
      </c>
      <c r="H39" s="232">
        <v>0.18126429245358441</v>
      </c>
      <c r="I39" s="232">
        <v>0.10707629586488038</v>
      </c>
      <c r="J39" s="232">
        <v>0.40389326191331615</v>
      </c>
      <c r="K39" s="232">
        <v>0.33196702646080978</v>
      </c>
      <c r="L39" s="242"/>
      <c r="M39" s="232">
        <v>0.25823101729432107</v>
      </c>
      <c r="N39" s="232">
        <v>0.16510211771188274</v>
      </c>
      <c r="O39" s="18"/>
      <c r="P39" s="19">
        <f t="shared" ref="P39:W39" si="40">(P34-D34)/D34</f>
        <v>0.45492548164303898</v>
      </c>
      <c r="Q39" s="19">
        <f t="shared" si="40"/>
        <v>0.39249832551908903</v>
      </c>
      <c r="R39" s="19">
        <f t="shared" si="40"/>
        <v>0.49073644835909647</v>
      </c>
      <c r="S39" s="19">
        <f t="shared" si="40"/>
        <v>0.4374380480365993</v>
      </c>
      <c r="T39" s="19">
        <f t="shared" si="40"/>
        <v>0.33294976105703505</v>
      </c>
      <c r="U39" s="19">
        <f t="shared" si="40"/>
        <v>0.32253991635321044</v>
      </c>
      <c r="V39" s="19">
        <f t="shared" si="40"/>
        <v>0.35685786406411779</v>
      </c>
      <c r="W39" s="19">
        <f t="shared" si="40"/>
        <v>0.35227609473660215</v>
      </c>
      <c r="X39" s="18"/>
      <c r="Y39" s="19">
        <f>(Y34-M34)/M34</f>
        <v>0.40013193420592563</v>
      </c>
      <c r="Z39" s="19">
        <f>(Z34-N34)/N34</f>
        <v>0.37197729975588889</v>
      </c>
      <c r="AA39" s="18"/>
      <c r="AB39" s="19">
        <f t="shared" ref="AB39" si="41">(AB34-P34)/P34</f>
        <v>0.38217364147407856</v>
      </c>
      <c r="AC39" s="19">
        <f t="shared" ref="AC39" si="42">(AC34-Q34)/Q34</f>
        <v>0.38098938098938084</v>
      </c>
      <c r="AD39" s="19">
        <f t="shared" ref="AD39" si="43">(AD34-R34)/R34</f>
        <v>0.26889422664493445</v>
      </c>
      <c r="AE39" s="19">
        <f t="shared" ref="AE39" si="44">(AE34-S34)/S34</f>
        <v>0.26314449395289624</v>
      </c>
      <c r="AF39" s="19">
        <f t="shared" ref="AF39" si="45">(AF34-T34)/T34</f>
        <v>0.33274088217669939</v>
      </c>
      <c r="AG39" s="19">
        <f t="shared" ref="AG39" si="46">(AG34-U34)/U34</f>
        <v>0.30915491557111341</v>
      </c>
      <c r="AH39" s="18"/>
      <c r="AI39" s="19">
        <f>(AI34-(R34+P34+T34))/(P34+R34+T34)</f>
        <v>0.325392707723896</v>
      </c>
      <c r="AJ39" s="19">
        <f>(AJ34-(S34+Q34+U34))/(Q34+S34+U34)</f>
        <v>0.31454626511875727</v>
      </c>
      <c r="AK39" s="18"/>
      <c r="AL39" s="304"/>
      <c r="AM39" s="18"/>
      <c r="AN39" s="18"/>
      <c r="AO39" s="18"/>
      <c r="AP39" s="18"/>
      <c r="AQ39" s="18"/>
    </row>
    <row r="40" spans="1:43" s="31" customFormat="1" ht="16.899999999999999" thickBot="1" x14ac:dyDescent="0.45">
      <c r="A40" s="286"/>
      <c r="B40" s="17" t="s">
        <v>39</v>
      </c>
      <c r="C40" s="18"/>
      <c r="D40" s="191">
        <v>0.19653517499707387</v>
      </c>
      <c r="E40" s="192">
        <v>3.760716146450057E-2</v>
      </c>
      <c r="F40" s="234">
        <v>0.3880846164915816</v>
      </c>
      <c r="G40" s="235">
        <v>0.23774491951343876</v>
      </c>
      <c r="H40" s="232">
        <v>0.2209227712115252</v>
      </c>
      <c r="I40" s="232">
        <v>0.12802710508775814</v>
      </c>
      <c r="J40" s="232">
        <v>0.49525848228620356</v>
      </c>
      <c r="K40" s="232">
        <v>0.4004354478051077</v>
      </c>
      <c r="L40" s="242"/>
      <c r="M40" s="232">
        <v>0.32943767040983746</v>
      </c>
      <c r="N40" s="232">
        <v>0.20545945745115635</v>
      </c>
      <c r="O40" s="18"/>
      <c r="P40" s="19">
        <f t="shared" ref="P40:W40" si="47">+((P35+P36)-(D35+D36))/(D35+D36)</f>
        <v>0.55527294071610256</v>
      </c>
      <c r="Q40" s="19">
        <f t="shared" si="47"/>
        <v>0.47067147487104594</v>
      </c>
      <c r="R40" s="19">
        <f t="shared" si="47"/>
        <v>0.58377739534305084</v>
      </c>
      <c r="S40" s="19">
        <f t="shared" si="47"/>
        <v>0.51544753722120873</v>
      </c>
      <c r="T40" s="19">
        <f t="shared" si="47"/>
        <v>0.39197734940576101</v>
      </c>
      <c r="U40" s="19">
        <f t="shared" si="47"/>
        <v>0.38014345035862596</v>
      </c>
      <c r="V40" s="19">
        <f t="shared" si="47"/>
        <v>0.44140468418942902</v>
      </c>
      <c r="W40" s="19">
        <f t="shared" si="47"/>
        <v>0.43710520049862062</v>
      </c>
      <c r="X40" s="18"/>
      <c r="Y40" s="19">
        <f>+((Y35+Y36)-(M35+M36))/(M35+M36)</f>
        <v>0.48089487593598595</v>
      </c>
      <c r="Z40" s="19">
        <f>+((Z35+Z36)-(N35+N36))/(N35+N36)</f>
        <v>0.44588472021028813</v>
      </c>
      <c r="AA40" s="18"/>
      <c r="AB40" s="19">
        <f t="shared" ref="AB40" si="48">+((AB35+AB36)-(P35+P36))/(P35+P36)</f>
        <v>0.48965278651402677</v>
      </c>
      <c r="AC40" s="19">
        <f t="shared" ref="AC40" si="49">+((AC35+AC36)-(Q35+Q36))/(Q35+Q36)</f>
        <v>0.48983487491464373</v>
      </c>
      <c r="AD40" s="19">
        <f t="shared" ref="AD40" si="50">+((AD35+AD36)-(R35+R36))/(R35+R36)</f>
        <v>0.34261101801424382</v>
      </c>
      <c r="AE40" s="19">
        <f t="shared" ref="AE40" si="51">+((AE35+AE36)-(S35+S36))/(S35+S36)</f>
        <v>0.33625867246556912</v>
      </c>
      <c r="AF40" s="19">
        <f t="shared" ref="AF40" si="52">+((AF35+AF36)-(T35+T36))/(T35+T36)</f>
        <v>0.41026515474464992</v>
      </c>
      <c r="AG40" s="19">
        <f t="shared" ref="AG40" si="53">+((AG35+AG36)-(U35+U36))/(U35+U36)</f>
        <v>0.38142184378270394</v>
      </c>
      <c r="AH40" s="18"/>
      <c r="AI40" s="19">
        <f>+((AI35+AI36)-((P35+P36)+(R35+R36)+(T35+T36)))/((P35+P36)+(R35+R36)+(T35+T36))</f>
        <v>0.40972806974094811</v>
      </c>
      <c r="AJ40" s="19">
        <f>+((AJ35+AJ36)-((Q35+Q36)+(S35+S36)+(U35+U36)))/((Q35+Q36)+(S35+S36)+(U35+U36))</f>
        <v>0.39690849499512804</v>
      </c>
      <c r="AK40" s="18"/>
      <c r="AL40" s="305"/>
      <c r="AM40" s="18"/>
      <c r="AN40" s="18"/>
      <c r="AO40" s="18"/>
      <c r="AP40" s="18"/>
      <c r="AQ40" s="18"/>
    </row>
    <row r="41" spans="1:43" ht="14.25" thickBot="1" x14ac:dyDescent="0.45">
      <c r="A41" s="32"/>
      <c r="B41" s="33"/>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row>
    <row r="42" spans="1:43" ht="18.75" customHeight="1" thickBot="1" x14ac:dyDescent="0.4">
      <c r="A42" s="306" t="s">
        <v>203</v>
      </c>
      <c r="B42" s="35" t="s">
        <v>105</v>
      </c>
      <c r="D42" s="210">
        <f>+'Gross Profit'!B14</f>
        <v>114.96200000000002</v>
      </c>
      <c r="E42" s="211">
        <f>+'Gross Profit'!B25</f>
        <v>125.80700000000002</v>
      </c>
      <c r="F42" s="211">
        <f>+'Gross Profit'!C14</f>
        <v>137.17899999999997</v>
      </c>
      <c r="G42" s="212">
        <f>+'Gross Profit'!C25</f>
        <v>146.28700000000001</v>
      </c>
      <c r="H42" s="211">
        <f>+'Gross Profit'!D14</f>
        <v>141.35000000000002</v>
      </c>
      <c r="I42" s="212">
        <f>+'Gross Profit'!D25</f>
        <v>151.124</v>
      </c>
      <c r="J42" s="211">
        <f>+'Gross Profit'!E14</f>
        <v>149.20499999999998</v>
      </c>
      <c r="K42" s="212">
        <f>+'Gross Profit'!E25</f>
        <v>157.59199999999998</v>
      </c>
      <c r="L42" s="174"/>
      <c r="M42" s="210">
        <f>+'Gross Profit'!G14</f>
        <v>542.69599999999991</v>
      </c>
      <c r="N42" s="212">
        <f>+'Gross Profit'!G25</f>
        <v>580.81000000000006</v>
      </c>
      <c r="O42" s="15"/>
      <c r="P42" s="36">
        <f>+'Gross Profit'!I14</f>
        <v>128.56399999999999</v>
      </c>
      <c r="Q42" s="36">
        <f>+'Gross Profit'!I25</f>
        <v>135.81399999999999</v>
      </c>
      <c r="R42" s="36">
        <f>+'Gross Profit'!J14</f>
        <v>142.04999999999998</v>
      </c>
      <c r="S42" s="36">
        <f>+'Gross Profit'!J25</f>
        <v>149.02499999999998</v>
      </c>
      <c r="T42" s="36">
        <f>+'Gross Profit'!K14</f>
        <v>152.73599999999999</v>
      </c>
      <c r="U42" s="36">
        <f>+'Gross Profit'!K25</f>
        <v>161.18899999999999</v>
      </c>
      <c r="V42" s="36">
        <f>+'Gross Profit'!L14</f>
        <v>152.58699999999999</v>
      </c>
      <c r="W42" s="36">
        <f>+'Gross Profit'!L25</f>
        <v>160.14699999999999</v>
      </c>
      <c r="X42" s="15"/>
      <c r="Y42" s="210">
        <f>+'Gross Profit'!N14</f>
        <v>575.9369999999999</v>
      </c>
      <c r="Z42" s="212">
        <f>+'Gross Profit'!N25</f>
        <v>606.17499999999995</v>
      </c>
      <c r="AA42" s="15"/>
      <c r="AB42" s="36">
        <f>+'Gross Profit'!P14</f>
        <v>141.17099999999999</v>
      </c>
      <c r="AC42" s="36">
        <f>+'Gross Profit'!P25</f>
        <v>147.90699999999998</v>
      </c>
      <c r="AD42" s="36">
        <f>+'Gross Profit'!Q14</f>
        <v>147.79400000000001</v>
      </c>
      <c r="AE42" s="36">
        <f>+'Gross Profit'!Q25</f>
        <v>153.79300000000001</v>
      </c>
      <c r="AF42" s="36">
        <f>+'Gross Profit'!R14</f>
        <v>154.79599999999999</v>
      </c>
      <c r="AG42" s="36">
        <f>+'Gross Profit'!R25</f>
        <v>160.691</v>
      </c>
      <c r="AH42" s="15"/>
      <c r="AI42" s="36">
        <f>+'Gross Profit'!T14</f>
        <v>443.76100000000002</v>
      </c>
      <c r="AJ42" s="36">
        <f>+'Gross Profit'!T25</f>
        <v>462.39099999999996</v>
      </c>
      <c r="AK42" s="15"/>
      <c r="AL42" s="309" t="s">
        <v>140</v>
      </c>
      <c r="AM42" s="15"/>
      <c r="AN42" s="15"/>
      <c r="AO42" s="15"/>
      <c r="AP42" s="15"/>
      <c r="AQ42" s="15"/>
    </row>
    <row r="43" spans="1:43" ht="18.75" customHeight="1" thickBot="1" x14ac:dyDescent="0.45">
      <c r="A43" s="307"/>
      <c r="B43" s="37" t="s">
        <v>106</v>
      </c>
      <c r="C43" s="31"/>
      <c r="D43" s="213">
        <f>+'Gross Profit'!B15</f>
        <v>0.61899999999999999</v>
      </c>
      <c r="E43" s="38">
        <f>+'Gross Profit'!B26</f>
        <v>0.66500000000000004</v>
      </c>
      <c r="F43" s="38">
        <f>+'Gross Profit'!C15</f>
        <v>0.67200000000000004</v>
      </c>
      <c r="G43" s="214">
        <f>+'Gross Profit'!C26</f>
        <v>0.70599999999999996</v>
      </c>
      <c r="H43" s="38">
        <f>+'Gross Profit'!D15</f>
        <v>0.65700000000000003</v>
      </c>
      <c r="I43" s="214">
        <f>+'Gross Profit'!D26</f>
        <v>0.69499999999999995</v>
      </c>
      <c r="J43" s="38">
        <f>+'Gross Profit'!E15</f>
        <v>0.66300000000000003</v>
      </c>
      <c r="K43" s="214">
        <f>+'Gross Profit'!E26</f>
        <v>0.69499999999999995</v>
      </c>
      <c r="L43" s="175"/>
      <c r="M43" s="213">
        <f>+'Gross Profit'!G15</f>
        <v>0.65400000000000003</v>
      </c>
      <c r="N43" s="214">
        <f>+'Gross Profit'!G26</f>
        <v>0.69099999999999995</v>
      </c>
      <c r="O43" s="15"/>
      <c r="P43" s="38">
        <f>+'Gross Profit'!I15</f>
        <v>0.64</v>
      </c>
      <c r="Q43" s="38">
        <f>+'Gross Profit'!I26</f>
        <v>0.67300000000000004</v>
      </c>
      <c r="R43" s="38">
        <f>+'Gross Profit'!J15</f>
        <v>0.66200000000000003</v>
      </c>
      <c r="S43" s="38">
        <f>+'Gross Profit'!J26</f>
        <v>0.69099999999999995</v>
      </c>
      <c r="T43" s="38">
        <f>+'Gross Profit'!K15</f>
        <v>0.67900000000000005</v>
      </c>
      <c r="U43" s="38">
        <f>+'Gross Profit'!K26</f>
        <v>0.71</v>
      </c>
      <c r="V43" s="38">
        <f>+'Gross Profit'!L15</f>
        <v>0.65200000000000002</v>
      </c>
      <c r="W43" s="38">
        <f>+'Gross Profit'!L26</f>
        <v>0.67800000000000005</v>
      </c>
      <c r="X43" s="15"/>
      <c r="Y43" s="213">
        <f>+'Gross Profit'!N15</f>
        <v>0.65900000000000003</v>
      </c>
      <c r="Z43" s="214">
        <f>+'Gross Profit'!N26</f>
        <v>0.68799999999999994</v>
      </c>
      <c r="AA43" s="15"/>
      <c r="AB43" s="38">
        <f>+'Gross Profit'!P15</f>
        <v>0.64800000000000002</v>
      </c>
      <c r="AC43" s="38">
        <f>+'Gross Profit'!P26</f>
        <v>0.67500000000000004</v>
      </c>
      <c r="AD43" s="38">
        <f>+'Gross Profit'!Q15</f>
        <v>0.66300000000000003</v>
      </c>
      <c r="AE43" s="38">
        <f>+'Gross Profit'!Q26</f>
        <v>0.68799999999999994</v>
      </c>
      <c r="AF43" s="38">
        <f>+'Gross Profit'!R15</f>
        <v>0.68700000000000006</v>
      </c>
      <c r="AG43" s="38">
        <f>+'Gross Profit'!R26</f>
        <v>0.71199999999999997</v>
      </c>
      <c r="AH43" s="15"/>
      <c r="AI43" s="38">
        <f>+'Gross Profit'!T15</f>
        <v>0.66600000000000004</v>
      </c>
      <c r="AJ43" s="38">
        <f>+'Gross Profit'!T26</f>
        <v>0.69199999999999995</v>
      </c>
      <c r="AK43" s="15"/>
      <c r="AL43" s="310"/>
      <c r="AM43" s="15"/>
      <c r="AN43" s="15"/>
      <c r="AO43" s="15"/>
      <c r="AP43" s="15"/>
      <c r="AQ43" s="15"/>
    </row>
    <row r="44" spans="1:43" ht="18.75" customHeight="1" thickBot="1" x14ac:dyDescent="0.4">
      <c r="A44" s="307"/>
      <c r="B44" s="13" t="s">
        <v>204</v>
      </c>
      <c r="C44" s="15"/>
      <c r="D44" s="187">
        <f>'Gross Profit'!B32</f>
        <v>94.141999999999996</v>
      </c>
      <c r="E44" s="14">
        <f>'Gross Profit'!B43</f>
        <v>98.908999999999992</v>
      </c>
      <c r="F44" s="14">
        <f>'Gross Profit'!C32</f>
        <v>106.33099999999999</v>
      </c>
      <c r="G44" s="188">
        <f>'Gross Profit'!C43</f>
        <v>110.23100000000002</v>
      </c>
      <c r="H44" s="14">
        <f>'Gross Profit'!D32</f>
        <v>114.845</v>
      </c>
      <c r="I44" s="188">
        <f>'Gross Profit'!D43</f>
        <v>118.29499999999997</v>
      </c>
      <c r="J44" s="14">
        <f>'Gross Profit'!E32</f>
        <v>121.262</v>
      </c>
      <c r="K44" s="188">
        <f>'Gross Profit'!E43</f>
        <v>123.28750000000001</v>
      </c>
      <c r="L44" s="22"/>
      <c r="M44" s="187">
        <f>'Gross Profit'!G32</f>
        <v>436.58</v>
      </c>
      <c r="N44" s="188">
        <f>'Gross Profit'!G43</f>
        <v>450.72250000000003</v>
      </c>
      <c r="O44" s="15"/>
      <c r="P44" s="14">
        <f>'Gross Profit'!I32</f>
        <v>106.37700000000001</v>
      </c>
      <c r="Q44" s="14">
        <f>'Gross Profit'!I43</f>
        <v>108.25500000000001</v>
      </c>
      <c r="R44" s="14">
        <f>'Gross Profit'!J32</f>
        <v>118.542</v>
      </c>
      <c r="S44" s="14">
        <f>'Gross Profit'!J43</f>
        <v>120.233</v>
      </c>
      <c r="T44" s="14">
        <f>'Gross Profit'!K32</f>
        <v>122</v>
      </c>
      <c r="U44" s="14">
        <f>'Gross Profit'!K43</f>
        <v>124.71299999999999</v>
      </c>
      <c r="V44" s="14">
        <f>'Gross Profit'!L32</f>
        <v>129.64100000000002</v>
      </c>
      <c r="W44" s="14">
        <f>'Gross Profit'!L43</f>
        <v>132.20900000000003</v>
      </c>
      <c r="X44" s="15"/>
      <c r="Y44" s="187">
        <f>'Gross Profit'!N32</f>
        <v>476.56</v>
      </c>
      <c r="Z44" s="188">
        <f>'Gross Profit'!N43</f>
        <v>485.41000000000008</v>
      </c>
      <c r="AA44" s="15"/>
      <c r="AB44" s="14">
        <f>'Gross Profit'!P32</f>
        <v>118.339</v>
      </c>
      <c r="AC44" s="14">
        <f>'Gross Profit'!P43</f>
        <v>120.34</v>
      </c>
      <c r="AD44" s="14">
        <f>'Gross Profit'!Q32</f>
        <v>125.58799999999999</v>
      </c>
      <c r="AE44" s="14">
        <f>'Gross Profit'!Q43</f>
        <v>127.271</v>
      </c>
      <c r="AF44" s="14">
        <f>'Gross Profit'!R32</f>
        <v>135.38800000000001</v>
      </c>
      <c r="AG44" s="14">
        <f>'Gross Profit'!R43</f>
        <v>136.999</v>
      </c>
      <c r="AH44" s="15"/>
      <c r="AI44" s="14">
        <f>'Gross Profit'!T32</f>
        <v>379.315</v>
      </c>
      <c r="AJ44" s="14">
        <f>'Gross Profit'!T43</f>
        <v>384.61</v>
      </c>
      <c r="AK44" s="15"/>
      <c r="AL44" s="310"/>
      <c r="AM44" s="15"/>
      <c r="AN44" s="15"/>
      <c r="AO44" s="15"/>
      <c r="AP44" s="15"/>
      <c r="AQ44" s="15"/>
    </row>
    <row r="45" spans="1:43" s="31" customFormat="1" ht="19.5" customHeight="1" thickBot="1" x14ac:dyDescent="0.45">
      <c r="A45" s="307"/>
      <c r="B45" s="25" t="s">
        <v>205</v>
      </c>
      <c r="C45" s="18"/>
      <c r="D45" s="189">
        <f>'Gross Profit'!B33</f>
        <v>0.72938715425737977</v>
      </c>
      <c r="E45" s="19">
        <f>'Gross Profit'!B44</f>
        <v>0.74743070459148198</v>
      </c>
      <c r="F45" s="19">
        <f>'Gross Profit'!C33</f>
        <v>0.76350463498172572</v>
      </c>
      <c r="G45" s="190">
        <f>'Gross Profit'!C44</f>
        <v>0.77445848819318097</v>
      </c>
      <c r="H45" s="19">
        <f>'Gross Profit'!D33</f>
        <v>0.76444589404458407</v>
      </c>
      <c r="I45" s="190">
        <f>'Gross Profit'!D44</f>
        <v>0.77590843499934403</v>
      </c>
      <c r="J45" s="19">
        <f>'Gross Profit'!E33</f>
        <v>0.77210386236581052</v>
      </c>
      <c r="K45" s="190">
        <f>'Gross Profit'!E44</f>
        <v>0.77619857084395771</v>
      </c>
      <c r="L45" s="172"/>
      <c r="M45" s="189">
        <f>'Gross Profit'!G33</f>
        <v>0.75844648590051833</v>
      </c>
      <c r="N45" s="190">
        <f>'Gross Profit'!G44</f>
        <v>0.76920352925114355</v>
      </c>
      <c r="O45" s="18"/>
      <c r="P45" s="19">
        <f>'Gross Profit'!I33</f>
        <v>0.73641253556520114</v>
      </c>
      <c r="Q45" s="19">
        <f>'Gross Profit'!I44</f>
        <v>0.74406152915624224</v>
      </c>
      <c r="R45" s="19">
        <f>'Gross Profit'!J33</f>
        <v>0.75901855575048982</v>
      </c>
      <c r="S45" s="19">
        <f>'Gross Profit'!J44</f>
        <v>0.76488475803322076</v>
      </c>
      <c r="T45" s="19">
        <f>'Gross Profit'!K33</f>
        <v>0.7682087512829715</v>
      </c>
      <c r="U45" s="19">
        <f>'Gross Profit'!K44</f>
        <v>0.77500481608759686</v>
      </c>
      <c r="V45" s="19">
        <f>'Gross Profit'!L33</f>
        <v>0.74640589105690125</v>
      </c>
      <c r="W45" s="19">
        <f>'Gross Profit'!L44</f>
        <v>0.75247868501633497</v>
      </c>
      <c r="X45" s="18"/>
      <c r="Y45" s="189">
        <f>'Gross Profit'!N33</f>
        <v>0.75270600462149106</v>
      </c>
      <c r="Z45" s="190">
        <f>'Gross Profit'!N44</f>
        <v>0.75928359142812474</v>
      </c>
      <c r="AA45" s="18"/>
      <c r="AB45" s="19">
        <f>'Gross Profit'!P33</f>
        <v>0.74255648911004168</v>
      </c>
      <c r="AC45" s="19">
        <f>'Gross Profit'!P44</f>
        <v>0.74880219028062978</v>
      </c>
      <c r="AD45" s="19">
        <f>'Gross Profit'!Q33</f>
        <v>0.75455419370343668</v>
      </c>
      <c r="AE45" s="19">
        <f>'Gross Profit'!Q44</f>
        <v>0.76131768477974782</v>
      </c>
      <c r="AF45" s="19">
        <f>'Gross Profit'!R33</f>
        <v>0.77710048099551143</v>
      </c>
      <c r="AG45" s="19">
        <f>'Gross Profit'!R44</f>
        <v>0.7844427266741103</v>
      </c>
      <c r="AH45" s="18"/>
      <c r="AI45" s="19">
        <f>'Gross Profit'!T33</f>
        <v>0.75858600201188331</v>
      </c>
      <c r="AJ45" s="19">
        <f>'Gross Profit'!T44</f>
        <v>0.76535191143958448</v>
      </c>
      <c r="AK45" s="18"/>
      <c r="AL45" s="310"/>
      <c r="AM45" s="18"/>
      <c r="AN45" s="18"/>
      <c r="AO45" s="18"/>
      <c r="AP45" s="18"/>
      <c r="AQ45" s="18"/>
    </row>
    <row r="46" spans="1:43" ht="19.5" customHeight="1" thickBot="1" x14ac:dyDescent="0.4">
      <c r="A46" s="307"/>
      <c r="B46" s="13" t="s">
        <v>206</v>
      </c>
      <c r="C46" s="15"/>
      <c r="D46" s="187">
        <f>'Gross Profit'!B50</f>
        <v>25.176000000000002</v>
      </c>
      <c r="E46" s="14">
        <f>'Gross Profit'!B61</f>
        <v>26.898000000000003</v>
      </c>
      <c r="F46" s="14">
        <f>'Gross Profit'!C50</f>
        <v>35.037000000000006</v>
      </c>
      <c r="G46" s="188">
        <f>'Gross Profit'!C61</f>
        <v>36.056000000000004</v>
      </c>
      <c r="H46" s="14">
        <f>'Gross Profit'!D50</f>
        <v>30.549000000000007</v>
      </c>
      <c r="I46" s="188">
        <f>'Gross Profit'!D61</f>
        <v>32.829000000000008</v>
      </c>
      <c r="J46" s="14">
        <f>'Gross Profit'!E50</f>
        <v>33.315999999999995</v>
      </c>
      <c r="K46" s="188">
        <f>'Gross Profit'!E61</f>
        <v>34.290999999999997</v>
      </c>
      <c r="L46" s="22"/>
      <c r="M46" s="187">
        <f>'Gross Profit'!G50</f>
        <v>124.078</v>
      </c>
      <c r="N46" s="188">
        <f>'Gross Profit'!G61</f>
        <v>130.07400000000001</v>
      </c>
      <c r="O46" s="15"/>
      <c r="P46" s="14">
        <f>'Gross Profit'!I50</f>
        <v>26.571000000000002</v>
      </c>
      <c r="Q46" s="14">
        <f>'Gross Profit'!I61</f>
        <v>27.559000000000001</v>
      </c>
      <c r="R46" s="14">
        <f>'Gross Profit'!J50</f>
        <v>27.933999999999994</v>
      </c>
      <c r="S46" s="14">
        <f>'Gross Profit'!J61</f>
        <v>28.791999999999994</v>
      </c>
      <c r="T46" s="14">
        <f>'Gross Profit'!K50</f>
        <v>35.484999999999999</v>
      </c>
      <c r="U46" s="14">
        <f>'Gross Profit'!K61</f>
        <v>36.475999999999999</v>
      </c>
      <c r="V46" s="14">
        <f>'Gross Profit'!L50</f>
        <v>27.163999999999994</v>
      </c>
      <c r="W46" s="14">
        <f>'Gross Profit'!L61</f>
        <v>27.937999999999995</v>
      </c>
      <c r="X46" s="15"/>
      <c r="Y46" s="187">
        <f>'Gross Profit'!N50</f>
        <v>117.154</v>
      </c>
      <c r="Z46" s="188">
        <f>'Gross Profit'!N61</f>
        <v>120.76499999999999</v>
      </c>
      <c r="AA46" s="15"/>
      <c r="AB46" s="14">
        <f>'Gross Profit'!P50</f>
        <v>26.471000000000004</v>
      </c>
      <c r="AC46" s="14">
        <f>'Gross Profit'!P61</f>
        <v>27.567000000000004</v>
      </c>
      <c r="AD46" s="14">
        <f>'Gross Profit'!Q50</f>
        <v>25.759000000000004</v>
      </c>
      <c r="AE46" s="14">
        <f>'Gross Profit'!Q61</f>
        <v>26.522000000000006</v>
      </c>
      <c r="AF46" s="14">
        <f>'Gross Profit'!R50</f>
        <v>22.958000000000002</v>
      </c>
      <c r="AG46" s="14">
        <f>'Gross Profit'!R61</f>
        <v>23.692</v>
      </c>
      <c r="AH46" s="15"/>
      <c r="AI46" s="14">
        <f>'Gross Profit'!T50</f>
        <v>75.188000000000002</v>
      </c>
      <c r="AJ46" s="14">
        <f>'Gross Profit'!T61</f>
        <v>77.781000000000006</v>
      </c>
      <c r="AK46" s="15"/>
      <c r="AL46" s="310"/>
      <c r="AM46" s="15"/>
      <c r="AN46" s="15"/>
      <c r="AO46" s="15"/>
      <c r="AP46" s="15"/>
      <c r="AQ46" s="15"/>
    </row>
    <row r="47" spans="1:43" s="31" customFormat="1" ht="19.5" customHeight="1" thickBot="1" x14ac:dyDescent="0.45">
      <c r="A47" s="308"/>
      <c r="B47" s="25" t="s">
        <v>207</v>
      </c>
      <c r="C47" s="18"/>
      <c r="D47" s="191">
        <f>'Gross Profit'!B51</f>
        <v>0.44327845761070517</v>
      </c>
      <c r="E47" s="192">
        <f>'Gross Profit'!B62</f>
        <v>0.47359802799542217</v>
      </c>
      <c r="F47" s="192">
        <f>'Gross Profit'!C51</f>
        <v>0.5405859935506766</v>
      </c>
      <c r="G47" s="193">
        <f>'Gross Profit'!C62</f>
        <v>0.55630814805671702</v>
      </c>
      <c r="H47" s="192">
        <f>'Gross Profit'!D51</f>
        <v>0.47006416470479628</v>
      </c>
      <c r="I47" s="193">
        <f>'Gross Profit'!D62</f>
        <v>0.50514702488113383</v>
      </c>
      <c r="J47" s="192">
        <f>'Gross Profit'!E51</f>
        <v>0.48975391761973358</v>
      </c>
      <c r="K47" s="193">
        <f>'Gross Profit'!E62</f>
        <v>0.50408667274277486</v>
      </c>
      <c r="L47" s="172"/>
      <c r="M47" s="191">
        <f>'Gross Profit'!G51</f>
        <v>0.48730083299623367</v>
      </c>
      <c r="N47" s="193">
        <f>'Gross Profit'!G62</f>
        <v>0.51084937338732173</v>
      </c>
      <c r="O47" s="18"/>
      <c r="P47" s="19">
        <f>'Gross Profit'!I51</f>
        <v>0.47069139607801458</v>
      </c>
      <c r="Q47" s="19">
        <f>'Gross Profit'!I62</f>
        <v>0.48819330038440417</v>
      </c>
      <c r="R47" s="19">
        <f>'Gross Profit'!J51</f>
        <v>0.47800270367391634</v>
      </c>
      <c r="S47" s="19">
        <f>'Gross Profit'!J62</f>
        <v>0.49268467975153574</v>
      </c>
      <c r="T47" s="19">
        <f>'Gross Profit'!K51</f>
        <v>0.53757820903210163</v>
      </c>
      <c r="U47" s="19">
        <f>'Gross Profit'!K62</f>
        <v>0.55259131330576128</v>
      </c>
      <c r="V47" s="19">
        <f>'Gross Profit'!L51</f>
        <v>0.44913278550288516</v>
      </c>
      <c r="W47" s="19">
        <f>'Gross Profit'!L62</f>
        <v>0.46193019295315879</v>
      </c>
      <c r="X47" s="18"/>
      <c r="Y47" s="191">
        <f>'Gross Profit'!N51</f>
        <v>0.48535089899743145</v>
      </c>
      <c r="Z47" s="193">
        <f>'Gross Profit'!N62</f>
        <v>0.50031071339796163</v>
      </c>
      <c r="AA47" s="18"/>
      <c r="AB47" s="19">
        <f>'Gross Profit'!P51</f>
        <v>0.45219426365329102</v>
      </c>
      <c r="AC47" s="19">
        <f>'Gross Profit'!P62</f>
        <v>0.47091682468098195</v>
      </c>
      <c r="AD47" s="19">
        <f>'Gross Profit'!Q51</f>
        <v>0.45624258311340976</v>
      </c>
      <c r="AE47" s="19">
        <f>'Gross Profit'!Q62</f>
        <v>0.46975681467967911</v>
      </c>
      <c r="AF47" s="19">
        <f>'Gross Profit'!R51</f>
        <v>0.45041297992976398</v>
      </c>
      <c r="AG47" s="19">
        <f>'Gross Profit'!R62</f>
        <v>0.46481332522414703</v>
      </c>
      <c r="AH47" s="18"/>
      <c r="AI47" s="19">
        <f>'Gross Profit'!T51</f>
        <v>0.45302435997083795</v>
      </c>
      <c r="AJ47" s="19">
        <f>'Gross Profit'!T62</f>
        <v>0.46864775952135646</v>
      </c>
      <c r="AK47" s="18"/>
      <c r="AL47" s="311"/>
      <c r="AM47" s="18"/>
      <c r="AN47" s="18"/>
      <c r="AO47" s="18"/>
      <c r="AP47" s="18"/>
      <c r="AQ47" s="18"/>
    </row>
    <row r="48" spans="1:43" ht="14.25" thickBot="1" x14ac:dyDescent="0.45">
      <c r="A48" s="32"/>
      <c r="B48" s="33"/>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row>
    <row r="49" spans="1:43" ht="19.5" customHeight="1" thickBot="1" x14ac:dyDescent="0.4">
      <c r="A49" s="306" t="s">
        <v>40</v>
      </c>
      <c r="B49" s="13" t="s">
        <v>80</v>
      </c>
      <c r="C49" s="15"/>
      <c r="D49" s="200">
        <f>+'Operating Expenses'!B7</f>
        <v>32.411999999999999</v>
      </c>
      <c r="E49" s="201">
        <f>+'Operating Expenses'!B17</f>
        <v>27.791999999999998</v>
      </c>
      <c r="F49" s="201">
        <f>+'Operating Expenses'!C7</f>
        <v>30.148</v>
      </c>
      <c r="G49" s="202">
        <f>+'Operating Expenses'!C17</f>
        <v>26.274999999999999</v>
      </c>
      <c r="H49" s="201">
        <f>+'Operating Expenses'!D7</f>
        <v>33.292999999999999</v>
      </c>
      <c r="I49" s="202">
        <f>+'Operating Expenses'!D17</f>
        <v>29.224</v>
      </c>
      <c r="J49" s="201">
        <f>+'Operating Expenses'!E7</f>
        <v>32.298999999999999</v>
      </c>
      <c r="K49" s="202">
        <f>+'Operating Expenses'!E17</f>
        <v>29.754999999999999</v>
      </c>
      <c r="L49" s="22"/>
      <c r="M49" s="200">
        <f>+'Operating Expenses'!G7</f>
        <v>128.15200000000002</v>
      </c>
      <c r="N49" s="202">
        <f>+'Operating Expenses'!G17</f>
        <v>113.04599999999999</v>
      </c>
      <c r="O49" s="15"/>
      <c r="P49" s="14">
        <f>+'Operating Expenses'!I7</f>
        <v>29.148</v>
      </c>
      <c r="Q49" s="14">
        <f>+'Operating Expenses'!I17</f>
        <v>26.71</v>
      </c>
      <c r="R49" s="14">
        <f>+'Operating Expenses'!J7</f>
        <v>31.792000000000002</v>
      </c>
      <c r="S49" s="14">
        <f>+'Operating Expenses'!J17</f>
        <v>29.57</v>
      </c>
      <c r="T49" s="14">
        <f>+'Operating Expenses'!K7</f>
        <v>31.029</v>
      </c>
      <c r="U49" s="14">
        <f>+'Operating Expenses'!K17</f>
        <v>28.791</v>
      </c>
      <c r="V49" s="14">
        <f>+'Operating Expenses'!L7</f>
        <v>31.321999999999999</v>
      </c>
      <c r="W49" s="14">
        <f>+'Operating Expenses'!L17</f>
        <v>29.262999999999998</v>
      </c>
      <c r="X49" s="15"/>
      <c r="Y49" s="200">
        <f>+'Operating Expenses'!N7</f>
        <v>123.291</v>
      </c>
      <c r="Z49" s="202">
        <f>+'Operating Expenses'!N17</f>
        <v>114.334</v>
      </c>
      <c r="AA49" s="15"/>
      <c r="AB49" s="14">
        <f>+'Operating Expenses'!P7</f>
        <v>30.946999999999999</v>
      </c>
      <c r="AC49" s="14">
        <f>+'Operating Expenses'!P17</f>
        <v>28.167999999999999</v>
      </c>
      <c r="AD49" s="14">
        <f>+'Operating Expenses'!Q7</f>
        <v>33.956000000000003</v>
      </c>
      <c r="AE49" s="14">
        <f>+'Operating Expenses'!Q17</f>
        <v>29.512000000000004</v>
      </c>
      <c r="AF49" s="14">
        <f>+'Operating Expenses'!R7</f>
        <v>32.941000000000003</v>
      </c>
      <c r="AG49" s="14">
        <f>+'Operating Expenses'!R17</f>
        <v>28.882000000000001</v>
      </c>
      <c r="AH49" s="15"/>
      <c r="AI49" s="14">
        <f>+'Operating Expenses'!T7</f>
        <v>97.844000000000008</v>
      </c>
      <c r="AJ49" s="14">
        <f>+'Operating Expenses'!T17</f>
        <v>86.562000000000012</v>
      </c>
      <c r="AK49" s="15"/>
      <c r="AL49" s="309" t="s">
        <v>139</v>
      </c>
      <c r="AM49" s="15"/>
      <c r="AN49" s="15"/>
      <c r="AO49" s="15"/>
      <c r="AP49" s="15"/>
      <c r="AQ49" s="15"/>
    </row>
    <row r="50" spans="1:43" s="31" customFormat="1" ht="19.5" customHeight="1" thickBot="1" x14ac:dyDescent="0.45">
      <c r="A50" s="307"/>
      <c r="B50" s="25" t="s">
        <v>41</v>
      </c>
      <c r="C50" s="18"/>
      <c r="D50" s="189">
        <f>+'Operating Expenses'!B8</f>
        <v>0.17399999999999999</v>
      </c>
      <c r="E50" s="19">
        <f>+'Operating Expenses'!B18</f>
        <v>0.14699999999999999</v>
      </c>
      <c r="F50" s="19">
        <f>+'Operating Expenses'!C8</f>
        <v>0.14799999999999999</v>
      </c>
      <c r="G50" s="190">
        <f>+'Operating Expenses'!C18</f>
        <v>0.127</v>
      </c>
      <c r="H50" s="19">
        <f>+'Operating Expenses'!D8</f>
        <v>0.155</v>
      </c>
      <c r="I50" s="190">
        <f>+'Operating Expenses'!D18</f>
        <v>0.13400000000000001</v>
      </c>
      <c r="J50" s="19">
        <f>+'Operating Expenses'!E8</f>
        <v>0.14399999999999999</v>
      </c>
      <c r="K50" s="190">
        <f>+'Operating Expenses'!E18</f>
        <v>0.13100000000000001</v>
      </c>
      <c r="L50" s="172"/>
      <c r="M50" s="189">
        <f>+'Operating Expenses'!G8</f>
        <v>0.154</v>
      </c>
      <c r="N50" s="190">
        <f>+'Operating Expenses'!G18</f>
        <v>0.13400000000000001</v>
      </c>
      <c r="O50" s="18"/>
      <c r="P50" s="19">
        <f>+'Operating Expenses'!I8</f>
        <v>0.14499999999999999</v>
      </c>
      <c r="Q50" s="19">
        <f>+'Operating Expenses'!I18</f>
        <v>0.13200000000000001</v>
      </c>
      <c r="R50" s="19">
        <f>+'Operating Expenses'!J8</f>
        <v>0.14799999999999999</v>
      </c>
      <c r="S50" s="19">
        <f>+'Operating Expenses'!J18</f>
        <v>0.13700000000000001</v>
      </c>
      <c r="T50" s="19">
        <f>+'Operating Expenses'!K8</f>
        <v>0.13800000000000001</v>
      </c>
      <c r="U50" s="19">
        <f>+'Operating Expenses'!K18</f>
        <v>0.127</v>
      </c>
      <c r="V50" s="19">
        <f>+'Operating Expenses'!L8</f>
        <v>0.13400000000000001</v>
      </c>
      <c r="W50" s="19">
        <f>+'Operating Expenses'!L18</f>
        <v>0.124</v>
      </c>
      <c r="X50" s="18"/>
      <c r="Y50" s="189">
        <f>+'Operating Expenses'!N8</f>
        <v>0.14099999999999999</v>
      </c>
      <c r="Z50" s="190">
        <f>+'Operating Expenses'!N18</f>
        <v>0.13</v>
      </c>
      <c r="AA50" s="18"/>
      <c r="AB50" s="19">
        <f>+'Operating Expenses'!P8</f>
        <v>0.14199999999999999</v>
      </c>
      <c r="AC50" s="19">
        <f>+'Operating Expenses'!P18</f>
        <v>0.128</v>
      </c>
      <c r="AD50" s="19">
        <f>+'Operating Expenses'!Q8</f>
        <v>0.152</v>
      </c>
      <c r="AE50" s="19">
        <f>+'Operating Expenses'!Q18</f>
        <v>0.13200000000000001</v>
      </c>
      <c r="AF50" s="19">
        <f>+'Operating Expenses'!R8</f>
        <v>0.14599999999999999</v>
      </c>
      <c r="AG50" s="19">
        <f>+'Operating Expenses'!R18</f>
        <v>0.128</v>
      </c>
      <c r="AH50" s="18"/>
      <c r="AI50" s="19">
        <f>+'Operating Expenses'!T8</f>
        <v>0.14699999999999999</v>
      </c>
      <c r="AJ50" s="19">
        <f>+'Operating Expenses'!T18</f>
        <v>0.129</v>
      </c>
      <c r="AK50" s="18"/>
      <c r="AL50" s="310"/>
      <c r="AM50" s="18"/>
      <c r="AN50" s="18"/>
      <c r="AO50" s="18"/>
      <c r="AP50" s="18"/>
      <c r="AQ50" s="18"/>
    </row>
    <row r="51" spans="1:43" ht="19.5" customHeight="1" thickBot="1" x14ac:dyDescent="0.4">
      <c r="A51" s="307"/>
      <c r="B51" s="13" t="s">
        <v>110</v>
      </c>
      <c r="C51" s="15"/>
      <c r="D51" s="187">
        <f>+'Operating Expenses'!B22</f>
        <v>76.826999999999998</v>
      </c>
      <c r="E51" s="14">
        <f>+'Operating Expenses'!B35</f>
        <v>60.563000000000002</v>
      </c>
      <c r="F51" s="14">
        <f>+'Operating Expenses'!C22</f>
        <v>77.739000000000004</v>
      </c>
      <c r="G51" s="188">
        <f>+'Operating Expenses'!C35</f>
        <v>56.406999999999996</v>
      </c>
      <c r="H51" s="14">
        <f>+'Operating Expenses'!D22</f>
        <v>80.167000000000002</v>
      </c>
      <c r="I51" s="188">
        <f>+'Operating Expenses'!D35</f>
        <v>58.507000000000005</v>
      </c>
      <c r="J51" s="14">
        <f>+'Operating Expenses'!E22</f>
        <v>92.611999999999995</v>
      </c>
      <c r="K51" s="188">
        <f>+'Operating Expenses'!E35</f>
        <v>70.781999999999996</v>
      </c>
      <c r="L51" s="22"/>
      <c r="M51" s="187">
        <f>+'Operating Expenses'!G22</f>
        <v>327.34500000000003</v>
      </c>
      <c r="N51" s="188">
        <f>+'Operating Expenses'!G35</f>
        <v>246.25900000000001</v>
      </c>
      <c r="O51" s="15"/>
      <c r="P51" s="14">
        <f>+'Operating Expenses'!I22</f>
        <v>87.646000000000001</v>
      </c>
      <c r="Q51" s="14">
        <f>+'Operating Expenses'!I35</f>
        <v>66.456000000000003</v>
      </c>
      <c r="R51" s="14">
        <f>+'Operating Expenses'!J22</f>
        <v>91.376000000000005</v>
      </c>
      <c r="S51" s="14">
        <f>+'Operating Expenses'!J35</f>
        <v>67.665000000000006</v>
      </c>
      <c r="T51" s="14">
        <f>+'Operating Expenses'!K22</f>
        <v>89.778000000000006</v>
      </c>
      <c r="U51" s="14">
        <f>+'Operating Expenses'!K35</f>
        <v>70.938000000000002</v>
      </c>
      <c r="V51" s="14">
        <f>+'Operating Expenses'!L22</f>
        <v>108.008</v>
      </c>
      <c r="W51" s="14">
        <f>+'Operating Expenses'!L35</f>
        <v>79.562999999999988</v>
      </c>
      <c r="X51" s="15"/>
      <c r="Y51" s="187">
        <f>+'Operating Expenses'!N22</f>
        <v>376.80799999999999</v>
      </c>
      <c r="Z51" s="188">
        <f>+'Operating Expenses'!N35</f>
        <v>284.62200000000001</v>
      </c>
      <c r="AA51" s="15"/>
      <c r="AB51" s="14">
        <f>+'Operating Expenses'!P22</f>
        <v>102.88200000000001</v>
      </c>
      <c r="AC51" s="14">
        <f>+'Operating Expenses'!P35</f>
        <v>75.900000000000006</v>
      </c>
      <c r="AD51" s="14">
        <f>+'Operating Expenses'!Q22</f>
        <v>105.705</v>
      </c>
      <c r="AE51" s="14">
        <f>+'Operating Expenses'!Q35</f>
        <v>76.60799999999999</v>
      </c>
      <c r="AF51" s="14">
        <f>+'Operating Expenses'!R22</f>
        <v>93.757000000000005</v>
      </c>
      <c r="AG51" s="14">
        <f>+'Operating Expenses'!R35</f>
        <v>73.213000000000008</v>
      </c>
      <c r="AH51" s="15"/>
      <c r="AI51" s="14">
        <f>+'Operating Expenses'!T22</f>
        <v>302.34399999999999</v>
      </c>
      <c r="AJ51" s="14">
        <f>+'Operating Expenses'!T35</f>
        <v>225.721</v>
      </c>
      <c r="AK51" s="15"/>
      <c r="AL51" s="310"/>
      <c r="AM51" s="15"/>
      <c r="AN51" s="15"/>
      <c r="AO51" s="15"/>
      <c r="AP51" s="15"/>
      <c r="AQ51" s="15"/>
    </row>
    <row r="52" spans="1:43" s="31" customFormat="1" ht="19.5" customHeight="1" thickBot="1" x14ac:dyDescent="0.45">
      <c r="A52" s="308"/>
      <c r="B52" s="25" t="s">
        <v>41</v>
      </c>
      <c r="C52" s="18"/>
      <c r="D52" s="191">
        <f>+'Operating Expenses'!B23</f>
        <v>0.41299999999999998</v>
      </c>
      <c r="E52" s="192">
        <f>+'Operating Expenses'!B36</f>
        <v>0.32</v>
      </c>
      <c r="F52" s="192">
        <f>+'Operating Expenses'!C23</f>
        <v>0.38100000000000001</v>
      </c>
      <c r="G52" s="193">
        <f>+'Operating Expenses'!C36</f>
        <v>0.27200000000000002</v>
      </c>
      <c r="H52" s="192">
        <f>+'Operating Expenses'!D23</f>
        <v>0.372</v>
      </c>
      <c r="I52" s="193">
        <f>+'Operating Expenses'!D36</f>
        <v>0.26900000000000002</v>
      </c>
      <c r="J52" s="192">
        <f>+'Operating Expenses'!E23</f>
        <v>0.41099999999999998</v>
      </c>
      <c r="K52" s="193">
        <f>+'Operating Expenses'!E36</f>
        <v>0.312</v>
      </c>
      <c r="L52" s="172"/>
      <c r="M52" s="191">
        <f>+'Operating Expenses'!G23</f>
        <v>0.39400000000000002</v>
      </c>
      <c r="N52" s="193">
        <f>+'Operating Expenses'!G36</f>
        <v>0.29299999999999998</v>
      </c>
      <c r="O52" s="18"/>
      <c r="P52" s="19">
        <f>+'Operating Expenses'!I23</f>
        <v>0.436</v>
      </c>
      <c r="Q52" s="19">
        <f>+'Operating Expenses'!I36</f>
        <v>0.32900000000000001</v>
      </c>
      <c r="R52" s="19">
        <f>+'Operating Expenses'!J23</f>
        <v>0.42599999999999999</v>
      </c>
      <c r="S52" s="19">
        <f>+'Operating Expenses'!J36</f>
        <v>0.314</v>
      </c>
      <c r="T52" s="19">
        <f>+'Operating Expenses'!K23</f>
        <v>0.39900000000000002</v>
      </c>
      <c r="U52" s="19">
        <f>+'Operating Expenses'!K36</f>
        <v>0.313</v>
      </c>
      <c r="V52" s="19">
        <f>+'Operating Expenses'!L23</f>
        <v>0.46100000000000002</v>
      </c>
      <c r="W52" s="19">
        <f>+'Operating Expenses'!L36</f>
        <v>0.33700000000000002</v>
      </c>
      <c r="X52" s="18"/>
      <c r="Y52" s="191">
        <f>+'Operating Expenses'!N23</f>
        <v>0.43099999999999999</v>
      </c>
      <c r="Z52" s="193">
        <f>+'Operating Expenses'!N36</f>
        <v>0.32300000000000001</v>
      </c>
      <c r="AA52" s="18"/>
      <c r="AB52" s="19">
        <f>+'Operating Expenses'!P23</f>
        <v>0.47199999999999998</v>
      </c>
      <c r="AC52" s="19">
        <f>+'Operating Expenses'!P36</f>
        <v>0.34599999999999997</v>
      </c>
      <c r="AD52" s="19">
        <f>+'Operating Expenses'!Q23</f>
        <v>0.47399999999999998</v>
      </c>
      <c r="AE52" s="19">
        <f>+'Operating Expenses'!Q36</f>
        <v>0.34300000000000003</v>
      </c>
      <c r="AF52" s="19">
        <f>+'Operating Expenses'!R23</f>
        <v>0.41599999999999998</v>
      </c>
      <c r="AG52" s="19">
        <f>+'Operating Expenses'!R36</f>
        <v>0.32500000000000001</v>
      </c>
      <c r="AH52" s="18"/>
      <c r="AI52" s="19">
        <f>+'Operating Expenses'!T23</f>
        <v>0.45400000000000001</v>
      </c>
      <c r="AJ52" s="19">
        <f>+'Operating Expenses'!T36</f>
        <v>0.33800000000000002</v>
      </c>
      <c r="AK52" s="18"/>
      <c r="AL52" s="311"/>
      <c r="AM52" s="18"/>
      <c r="AN52" s="18"/>
      <c r="AO52" s="18"/>
      <c r="AP52" s="18"/>
      <c r="AQ52" s="18"/>
    </row>
    <row r="53" spans="1:43" ht="25.15" customHeight="1" thickBot="1" x14ac:dyDescent="0.45">
      <c r="A53" s="32"/>
      <c r="B53" s="33"/>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row>
    <row r="54" spans="1:43" ht="19.5" customHeight="1" thickBot="1" x14ac:dyDescent="0.4">
      <c r="A54" s="285" t="s">
        <v>42</v>
      </c>
      <c r="B54" s="141" t="s">
        <v>192</v>
      </c>
      <c r="D54" s="215">
        <f>+'Operating Margins'!B6</f>
        <v>-2.0409999999999999</v>
      </c>
      <c r="E54" s="216">
        <f>+'Operating Margins'!B22</f>
        <v>37.452000000000005</v>
      </c>
      <c r="F54" s="216">
        <f>+'Operating Margins'!C6</f>
        <v>21.573</v>
      </c>
      <c r="G54" s="217">
        <f>+'Operating Margins'!C22</f>
        <v>63.605000000000032</v>
      </c>
      <c r="H54" s="216">
        <f>+'Operating Margins'!D6</f>
        <v>20.056999999999999</v>
      </c>
      <c r="I54" s="217">
        <f>+'Operating Margins'!D22</f>
        <v>63.392999999999972</v>
      </c>
      <c r="J54" s="216">
        <f>+'Operating Margins'!E6</f>
        <v>17.832999999999998</v>
      </c>
      <c r="K54" s="217">
        <f>+'Operating Margins'!E22</f>
        <v>57.055000000000007</v>
      </c>
      <c r="L54" s="176"/>
      <c r="M54" s="215">
        <f>+'Operating Margins'!G6</f>
        <v>57.421999999999997</v>
      </c>
      <c r="N54" s="217">
        <f>+'Operating Margins'!G22</f>
        <v>221.50500000000002</v>
      </c>
      <c r="P54" s="36">
        <f>+'Operating Margins'!I6</f>
        <v>4.4420000000000002</v>
      </c>
      <c r="Q54" s="36">
        <f>+'Operating Margins'!I22</f>
        <v>42.64800000000001</v>
      </c>
      <c r="R54" s="36">
        <f>+'Operating Margins'!J6</f>
        <v>11.537000000000001</v>
      </c>
      <c r="S54" s="36">
        <f>+'Operating Margins'!J22</f>
        <v>51.79</v>
      </c>
      <c r="T54" s="36">
        <f>+'Operating Margins'!K6</f>
        <v>24.667999999999999</v>
      </c>
      <c r="U54" s="36">
        <f>+'Operating Margins'!K22</f>
        <v>61.462999999999994</v>
      </c>
      <c r="V54" s="36">
        <f>+'Operating Margins'!L6</f>
        <v>6.1959999999999997</v>
      </c>
      <c r="W54" s="36">
        <f>+'Operating Margins'!L22</f>
        <v>51.319000000000003</v>
      </c>
      <c r="Y54" s="215">
        <f>+'Operating Margins'!N6</f>
        <v>46.842999999999996</v>
      </c>
      <c r="Z54" s="217">
        <f>+'Operating Margins'!N22</f>
        <v>207.22000000000003</v>
      </c>
      <c r="AB54" s="36">
        <f>+'Operating Margins'!P6</f>
        <v>0.498</v>
      </c>
      <c r="AC54" s="36">
        <f>+'Operating Margins'!P22</f>
        <v>43.838999999999963</v>
      </c>
      <c r="AD54" s="36">
        <f>+'Operating Margins'!Q6</f>
        <v>1.51</v>
      </c>
      <c r="AE54" s="36">
        <f>+'Operating Margins'!Q22</f>
        <v>47.672999999999995</v>
      </c>
      <c r="AF54" s="36">
        <f>+'Operating Margins'!R6</f>
        <v>21.678000000000001</v>
      </c>
      <c r="AG54" s="36">
        <f>+'Operating Margins'!R22</f>
        <v>58.596000000000004</v>
      </c>
      <c r="AI54" s="36">
        <f>+'Operating Margins'!T6</f>
        <v>23.686</v>
      </c>
      <c r="AJ54" s="36">
        <f>+'Operating Margins'!T22</f>
        <v>150.10799999999995</v>
      </c>
      <c r="AL54" s="312" t="s">
        <v>141</v>
      </c>
    </row>
    <row r="55" spans="1:43" s="31" customFormat="1" ht="19.5" customHeight="1" thickBot="1" x14ac:dyDescent="0.45">
      <c r="A55" s="299"/>
      <c r="B55" s="142" t="s">
        <v>107</v>
      </c>
      <c r="D55" s="213">
        <f>+'Operating Margins'!B7</f>
        <v>-1.0999999999999999E-2</v>
      </c>
      <c r="E55" s="38">
        <f>+'Operating Margins'!B23</f>
        <v>0.19800000000000001</v>
      </c>
      <c r="F55" s="38">
        <f>+'Operating Margins'!C7</f>
        <v>0.106</v>
      </c>
      <c r="G55" s="214">
        <f>+'Operating Margins'!C23</f>
        <v>0.307</v>
      </c>
      <c r="H55" s="38">
        <f>+'Operating Margins'!D7</f>
        <v>9.2999999999999999E-2</v>
      </c>
      <c r="I55" s="214">
        <f>+'Operating Margins'!D23</f>
        <v>0.29199999999999998</v>
      </c>
      <c r="J55" s="38">
        <f>+'Operating Margins'!E7</f>
        <v>7.9000000000000001E-2</v>
      </c>
      <c r="K55" s="214">
        <f>+'Operating Margins'!E23</f>
        <v>0.251</v>
      </c>
      <c r="L55" s="175"/>
      <c r="M55" s="213">
        <f>+'Operating Margins'!G7</f>
        <v>6.9000000000000006E-2</v>
      </c>
      <c r="N55" s="214">
        <f>+'Operating Margins'!G23</f>
        <v>0.26400000000000001</v>
      </c>
      <c r="P55" s="38">
        <f>+'Operating Margins'!I7</f>
        <v>2.1999999999999999E-2</v>
      </c>
      <c r="Q55" s="38">
        <f>+'Operating Margins'!I23</f>
        <v>0.21099999999999999</v>
      </c>
      <c r="R55" s="38">
        <f>+'Operating Margins'!J7</f>
        <v>5.3999999999999999E-2</v>
      </c>
      <c r="S55" s="38">
        <f>+'Operating Margins'!J23</f>
        <v>0.24</v>
      </c>
      <c r="T55" s="38">
        <f>+'Operating Margins'!K7</f>
        <v>0.11</v>
      </c>
      <c r="U55" s="38">
        <f>+'Operating Margins'!K23</f>
        <v>0.27100000000000002</v>
      </c>
      <c r="V55" s="38">
        <f>+'Operating Margins'!L7</f>
        <v>2.5999999999999999E-2</v>
      </c>
      <c r="W55" s="38">
        <f>+'Operating Margins'!L23</f>
        <v>0.217</v>
      </c>
      <c r="Y55" s="213">
        <f>+'Operating Margins'!N7</f>
        <v>5.3999999999999999E-2</v>
      </c>
      <c r="Z55" s="214">
        <f>+'Operating Margins'!N23</f>
        <v>0.23499999999999999</v>
      </c>
      <c r="AB55" s="38">
        <f>+'Operating Margins'!P7</f>
        <v>2E-3</v>
      </c>
      <c r="AC55" s="38">
        <f>+'Operating Margins'!P23</f>
        <v>0.2</v>
      </c>
      <c r="AD55" s="38">
        <f>+'Operating Margins'!Q7</f>
        <v>7.0000000000000001E-3</v>
      </c>
      <c r="AE55" s="38">
        <f>+'Operating Margins'!Q23</f>
        <v>0.21299999999999999</v>
      </c>
      <c r="AF55" s="38">
        <f>+'Operating Margins'!R7</f>
        <v>9.6000000000000002E-2</v>
      </c>
      <c r="AG55" s="38">
        <f>+'Operating Margins'!R23</f>
        <v>0.26</v>
      </c>
      <c r="AI55" s="38">
        <f>+'Operating Margins'!T7</f>
        <v>3.5999999999999997E-2</v>
      </c>
      <c r="AJ55" s="38">
        <f>+'Operating Margins'!T23</f>
        <v>0.22500000000000001</v>
      </c>
      <c r="AL55" s="313"/>
    </row>
    <row r="56" spans="1:43" ht="19.5" customHeight="1" thickBot="1" x14ac:dyDescent="0.4">
      <c r="A56" s="299"/>
      <c r="B56" s="141" t="s">
        <v>108</v>
      </c>
      <c r="D56" s="218"/>
      <c r="E56" s="36">
        <f>'EBITDA Margins'!B23</f>
        <v>44.356999999999999</v>
      </c>
      <c r="F56" s="39"/>
      <c r="G56" s="219">
        <f>'EBITDA Margins'!C23</f>
        <v>70.55800000000005</v>
      </c>
      <c r="H56" s="39"/>
      <c r="I56" s="219">
        <f>'EBITDA Margins'!D23</f>
        <v>70.10299999999998</v>
      </c>
      <c r="J56" s="39"/>
      <c r="K56" s="219">
        <f>'EBITDA Margins'!E23</f>
        <v>63.740999999999985</v>
      </c>
      <c r="L56" s="174"/>
      <c r="M56" s="218"/>
      <c r="N56" s="219">
        <f>'EBITDA Margins'!G23</f>
        <v>248.75900000000001</v>
      </c>
      <c r="P56" s="39"/>
      <c r="Q56" s="36">
        <f>'EBITDA Margins'!I23</f>
        <v>48.850000000000009</v>
      </c>
      <c r="R56" s="39"/>
      <c r="S56" s="36">
        <f>'EBITDA Margins'!J23</f>
        <v>57.849000000000018</v>
      </c>
      <c r="T56" s="39"/>
      <c r="U56" s="36">
        <f>'EBITDA Margins'!K23</f>
        <v>67.983000000000004</v>
      </c>
      <c r="V56" s="39"/>
      <c r="W56" s="36">
        <f>'EBITDA Margins'!L23</f>
        <v>57.848999999999997</v>
      </c>
      <c r="Y56" s="218"/>
      <c r="Z56" s="219">
        <f>'EBITDA Margins'!N23</f>
        <v>232.53099999999998</v>
      </c>
      <c r="AB56" s="39"/>
      <c r="AC56" s="36">
        <f>'EBITDA Margins'!P23</f>
        <v>50.598999999999961</v>
      </c>
      <c r="AD56" s="39"/>
      <c r="AE56" s="36">
        <f>'EBITDA Margins'!Q23</f>
        <v>54.040999999999997</v>
      </c>
      <c r="AF56" s="39"/>
      <c r="AG56" s="36">
        <f>'EBITDA Margins'!R23</f>
        <v>64.706000000000003</v>
      </c>
      <c r="AI56" s="39"/>
      <c r="AJ56" s="36">
        <f>'EBITDA Margins'!T23</f>
        <v>169.34599999999995</v>
      </c>
      <c r="AL56" s="313"/>
    </row>
    <row r="57" spans="1:43" s="31" customFormat="1" ht="19.5" customHeight="1" thickBot="1" x14ac:dyDescent="0.45">
      <c r="A57" s="299"/>
      <c r="B57" s="142" t="s">
        <v>109</v>
      </c>
      <c r="D57" s="220"/>
      <c r="E57" s="38">
        <f>'EBITDA Margins'!B24</f>
        <v>0.23453552374859221</v>
      </c>
      <c r="F57" s="40"/>
      <c r="G57" s="214">
        <f>'EBITDA Margins'!C24</f>
        <v>0.34061965956378615</v>
      </c>
      <c r="H57" s="40"/>
      <c r="I57" s="214">
        <f>'EBITDA Margins'!D24</f>
        <v>0.32238823816159184</v>
      </c>
      <c r="J57" s="40"/>
      <c r="K57" s="214">
        <f>'EBITDA Margins'!E24</f>
        <v>0.28096940417259902</v>
      </c>
      <c r="L57" s="175"/>
      <c r="M57" s="220"/>
      <c r="N57" s="214">
        <f>'EBITDA Margins'!G24</f>
        <v>0.29593627280113921</v>
      </c>
      <c r="P57" s="40"/>
      <c r="Q57" s="38">
        <f>'EBITDA Margins'!I24</f>
        <v>0.24189994206285936</v>
      </c>
      <c r="R57" s="40"/>
      <c r="S57" s="38">
        <f>'EBITDA Margins'!J24</f>
        <v>0.26827899642906838</v>
      </c>
      <c r="T57" s="40"/>
      <c r="U57" s="38">
        <f>'EBITDA Margins'!K24</f>
        <v>0.29957960234083059</v>
      </c>
      <c r="V57" s="40"/>
      <c r="W57" s="38">
        <f>'EBITDA Margins'!L24</f>
        <v>0.24493710279067993</v>
      </c>
      <c r="Y57" s="220"/>
      <c r="Z57" s="214">
        <f>'EBITDA Margins'!N24</f>
        <v>0.26403574510605438</v>
      </c>
      <c r="AB57" s="40"/>
      <c r="AC57" s="38">
        <f>'EBITDA Margins'!P24</f>
        <v>0.23078326468991864</v>
      </c>
      <c r="AD57" s="40"/>
      <c r="AE57" s="38">
        <f>'EBITDA Margins'!Q24</f>
        <v>0.24165254369921879</v>
      </c>
      <c r="AF57" s="40"/>
      <c r="AG57" s="38">
        <f>'EBITDA Margins'!R24</f>
        <v>0.28679703567122899</v>
      </c>
      <c r="AI57" s="40"/>
      <c r="AJ57" s="38">
        <f>'EBITDA Margins'!T24</f>
        <v>0.25332387927526862</v>
      </c>
      <c r="AL57" s="313"/>
    </row>
    <row r="58" spans="1:43" s="31" customFormat="1" ht="19.5" customHeight="1" thickBot="1" x14ac:dyDescent="0.45">
      <c r="A58" s="300"/>
      <c r="B58" s="141" t="s">
        <v>223</v>
      </c>
      <c r="D58" s="221">
        <f>'EPS &amp; DSO'!B6</f>
        <v>-0.23</v>
      </c>
      <c r="E58" s="222">
        <f>'EPS &amp; DSO'!B7</f>
        <v>0.4</v>
      </c>
      <c r="F58" s="222">
        <f>'EPS &amp; DSO'!C6</f>
        <v>-0.18</v>
      </c>
      <c r="G58" s="240">
        <f>'EPS &amp; DSO'!C7</f>
        <v>0.78</v>
      </c>
      <c r="H58" s="222">
        <f>'EPS &amp; DSO'!D6</f>
        <v>-0.08</v>
      </c>
      <c r="I58" s="222">
        <f>'EPS &amp; DSO'!D7</f>
        <v>0.73</v>
      </c>
      <c r="J58" s="222">
        <f>'EPS &amp; DSO'!E6</f>
        <v>-0.39</v>
      </c>
      <c r="K58" s="222">
        <f>'EPS &amp; DSO'!E7</f>
        <v>0.65</v>
      </c>
      <c r="L58" s="177"/>
      <c r="M58" s="222">
        <f>'EPS &amp; DSO'!G6</f>
        <v>-0.88</v>
      </c>
      <c r="N58" s="222">
        <f>'EPS &amp; DSO'!G7</f>
        <v>2.57</v>
      </c>
      <c r="O58" s="241"/>
      <c r="P58" s="144">
        <f>'EPS &amp; DSO'!I6</f>
        <v>-0.04</v>
      </c>
      <c r="Q58" s="144">
        <f>'EPS &amp; DSO'!I7</f>
        <v>0.44</v>
      </c>
      <c r="R58" s="144">
        <f>'EPS &amp; DSO'!J6</f>
        <v>0</v>
      </c>
      <c r="S58" s="144">
        <f>'EPS &amp; DSO'!J7</f>
        <v>0.57999999999999996</v>
      </c>
      <c r="T58" s="144">
        <f>'EPS &amp; DSO'!K6</f>
        <v>0.12</v>
      </c>
      <c r="U58" s="144">
        <f>'EPS &amp; DSO'!K7</f>
        <v>0.69</v>
      </c>
      <c r="V58" s="144">
        <f>'EPS &amp; DSO'!L6</f>
        <v>-0.15</v>
      </c>
      <c r="W58" s="144">
        <f>'EPS &amp; DSO'!L7</f>
        <v>0.56999999999999995</v>
      </c>
      <c r="X58" s="241"/>
      <c r="Y58" s="144">
        <f>'EPS &amp; DSO'!N6</f>
        <v>-7.0000000000000007E-2</v>
      </c>
      <c r="Z58" s="144">
        <f>'EPS &amp; DSO'!N7</f>
        <v>2.2799999999999998</v>
      </c>
      <c r="AB58" s="144">
        <f>'EPS &amp; DSO'!P6</f>
        <v>-0.08</v>
      </c>
      <c r="AC58" s="144">
        <f>'EPS &amp; DSO'!P7</f>
        <v>0.52</v>
      </c>
      <c r="AD58" s="144">
        <f>'EPS &amp; DSO'!Q6</f>
        <v>-0.12</v>
      </c>
      <c r="AE58" s="144">
        <f>'EPS &amp; DSO'!Q7</f>
        <v>0.56000000000000005</v>
      </c>
      <c r="AF58" s="144">
        <f>'EPS &amp; DSO'!R6</f>
        <v>-0.02</v>
      </c>
      <c r="AG58" s="144">
        <f>'EPS &amp; DSO'!R7</f>
        <v>0.69</v>
      </c>
      <c r="AH58" s="144"/>
      <c r="AI58" s="144">
        <f>'EPS &amp; DSO'!T6</f>
        <v>-0.21</v>
      </c>
      <c r="AJ58" s="144">
        <f>'EPS &amp; DSO'!T7</f>
        <v>1.77</v>
      </c>
      <c r="AL58" s="143" t="s">
        <v>224</v>
      </c>
    </row>
    <row r="59" spans="1:43" ht="16.5" x14ac:dyDescent="0.45">
      <c r="B59" s="41"/>
    </row>
    <row r="61" spans="1:43" ht="16.5" x14ac:dyDescent="0.45">
      <c r="A61" s="58" t="s">
        <v>283</v>
      </c>
      <c r="B61" s="42"/>
    </row>
    <row r="63" spans="1:43" ht="16.5" x14ac:dyDescent="0.35">
      <c r="B63" s="42"/>
    </row>
    <row r="64" spans="1:43" ht="16.5" x14ac:dyDescent="0.35">
      <c r="B64" s="42"/>
    </row>
    <row r="65" spans="4:26" x14ac:dyDescent="0.35">
      <c r="D65" s="43"/>
      <c r="E65" s="43"/>
      <c r="F65" s="43"/>
      <c r="G65" s="43"/>
      <c r="H65" s="43"/>
      <c r="I65" s="43"/>
      <c r="J65" s="43"/>
      <c r="K65" s="43"/>
      <c r="L65" s="43"/>
      <c r="M65" s="43"/>
      <c r="N65" s="43"/>
      <c r="P65" s="43"/>
      <c r="Q65" s="43"/>
      <c r="R65" s="43"/>
      <c r="S65" s="43"/>
      <c r="T65" s="43"/>
      <c r="U65" s="43"/>
      <c r="V65" s="43"/>
      <c r="W65" s="43"/>
      <c r="Y65" s="43"/>
      <c r="Z65" s="43"/>
    </row>
  </sheetData>
  <mergeCells count="37">
    <mergeCell ref="A54:A58"/>
    <mergeCell ref="A3:B3"/>
    <mergeCell ref="A34:A40"/>
    <mergeCell ref="AL34:AL40"/>
    <mergeCell ref="A49:A52"/>
    <mergeCell ref="AL49:AL52"/>
    <mergeCell ref="D4:E4"/>
    <mergeCell ref="P4:Q4"/>
    <mergeCell ref="M3:N3"/>
    <mergeCell ref="A42:A47"/>
    <mergeCell ref="AL42:AL47"/>
    <mergeCell ref="AL54:AL57"/>
    <mergeCell ref="A5:B5"/>
    <mergeCell ref="A6:A15"/>
    <mergeCell ref="AL6:AL12"/>
    <mergeCell ref="AL14:AL15"/>
    <mergeCell ref="H4:I4"/>
    <mergeCell ref="J4:K4"/>
    <mergeCell ref="D3:K3"/>
    <mergeCell ref="V4:W4"/>
    <mergeCell ref="P3:W3"/>
    <mergeCell ref="A17:A18"/>
    <mergeCell ref="A20:A32"/>
    <mergeCell ref="AL3:AL5"/>
    <mergeCell ref="A4:B4"/>
    <mergeCell ref="AB4:AC4"/>
    <mergeCell ref="AD4:AE4"/>
    <mergeCell ref="AI3:AJ3"/>
    <mergeCell ref="AI4:AJ4"/>
    <mergeCell ref="AF4:AG4"/>
    <mergeCell ref="AB3:AG3"/>
    <mergeCell ref="F4:G4"/>
    <mergeCell ref="R4:S4"/>
    <mergeCell ref="M4:N4"/>
    <mergeCell ref="Y3:Z3"/>
    <mergeCell ref="Y4:Z4"/>
    <mergeCell ref="T4:U4"/>
  </mergeCells>
  <pageMargins left="0.25" right="0.25" top="0.75" bottom="0.75" header="0.3" footer="0.3"/>
  <pageSetup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1930F-D22E-41B1-AC4D-EFC9886179CA}">
  <sheetPr>
    <tabColor rgb="FF0079FF"/>
    <pageSetUpPr fitToPage="1"/>
  </sheetPr>
  <dimension ref="A1:U120"/>
  <sheetViews>
    <sheetView zoomScale="65" zoomScaleNormal="65" zoomScaleSheetLayoutView="85" workbookViewId="0">
      <pane xSplit="1" ySplit="4" topLeftCell="B5" activePane="bottomRight" state="frozen"/>
      <selection activeCell="C39" sqref="C39"/>
      <selection pane="topRight" activeCell="C39" sqref="C39"/>
      <selection pane="bottomLeft" activeCell="C39" sqref="C39"/>
      <selection pane="bottomRight" activeCell="B5" sqref="B5"/>
    </sheetView>
  </sheetViews>
  <sheetFormatPr defaultColWidth="9.1328125" defaultRowHeight="10.15" outlineLevelCol="1" x14ac:dyDescent="0.3"/>
  <cols>
    <col min="1" max="1" width="62.1328125" style="67" bestFit="1" customWidth="1"/>
    <col min="2" max="2" width="1" style="44" customWidth="1"/>
    <col min="3" max="6" width="28.265625" style="67" hidden="1" customWidth="1" outlineLevel="1"/>
    <col min="7" max="7" width="1.3984375" style="44" hidden="1" customWidth="1" outlineLevel="1"/>
    <col min="8" max="8" width="28.265625" style="67" customWidth="1" collapsed="1"/>
    <col min="9" max="9" width="1.73046875" style="44" customWidth="1"/>
    <col min="10" max="13" width="26.3984375" style="44" hidden="1" customWidth="1" outlineLevel="1"/>
    <col min="14" max="14" width="1.86328125" style="44" hidden="1" customWidth="1" outlineLevel="1"/>
    <col min="15" max="15" width="26.3984375" style="44" customWidth="1" collapsed="1"/>
    <col min="16" max="16" width="1.73046875" style="44" customWidth="1"/>
    <col min="17" max="17" width="23.1328125" style="44" customWidth="1"/>
    <col min="18" max="19" width="21.86328125" style="44" customWidth="1"/>
    <col min="20" max="20" width="1.59765625" style="44" customWidth="1"/>
    <col min="21" max="21" width="19.86328125" style="44" customWidth="1"/>
    <col min="22" max="16384" width="9.1328125" style="44"/>
  </cols>
  <sheetData>
    <row r="1" spans="1:21" ht="17.649999999999999" x14ac:dyDescent="0.5">
      <c r="A1" s="5" t="s">
        <v>143</v>
      </c>
      <c r="C1" s="44"/>
      <c r="D1" s="44"/>
      <c r="E1" s="44"/>
      <c r="F1" s="44"/>
      <c r="H1" s="44"/>
    </row>
    <row r="2" spans="1:21" x14ac:dyDescent="0.3">
      <c r="A2" s="45"/>
      <c r="C2" s="44"/>
      <c r="D2" s="44"/>
      <c r="E2" s="44"/>
      <c r="F2" s="44"/>
      <c r="H2" s="44"/>
    </row>
    <row r="3" spans="1:21" s="7" customFormat="1" ht="30" customHeight="1" x14ac:dyDescent="0.4">
      <c r="A3" s="46"/>
      <c r="C3" s="319" t="s">
        <v>10</v>
      </c>
      <c r="D3" s="319"/>
      <c r="E3" s="319"/>
      <c r="F3" s="319"/>
      <c r="G3" s="147"/>
      <c r="H3" s="47" t="s">
        <v>247</v>
      </c>
      <c r="J3" s="319" t="s">
        <v>10</v>
      </c>
      <c r="K3" s="319"/>
      <c r="L3" s="319"/>
      <c r="M3" s="319"/>
      <c r="N3" s="147"/>
      <c r="O3" s="47" t="s">
        <v>247</v>
      </c>
      <c r="Q3" s="319" t="s">
        <v>10</v>
      </c>
      <c r="R3" s="319"/>
      <c r="S3" s="319"/>
      <c r="U3" s="47" t="s">
        <v>289</v>
      </c>
    </row>
    <row r="4" spans="1:21" s="7" customFormat="1" ht="30" customHeight="1" x14ac:dyDescent="0.4">
      <c r="A4" s="48" t="s">
        <v>13</v>
      </c>
      <c r="C4" s="49" t="s">
        <v>43</v>
      </c>
      <c r="D4" s="49" t="s">
        <v>229</v>
      </c>
      <c r="E4" s="49" t="s">
        <v>241</v>
      </c>
      <c r="F4" s="49" t="s">
        <v>44</v>
      </c>
      <c r="G4" s="148"/>
      <c r="H4" s="49" t="s">
        <v>44</v>
      </c>
      <c r="J4" s="49" t="s">
        <v>103</v>
      </c>
      <c r="K4" s="49" t="s">
        <v>230</v>
      </c>
      <c r="L4" s="49" t="s">
        <v>242</v>
      </c>
      <c r="M4" s="49" t="s">
        <v>246</v>
      </c>
      <c r="N4" s="148"/>
      <c r="O4" s="49" t="s">
        <v>246</v>
      </c>
      <c r="Q4" s="49" t="s">
        <v>267</v>
      </c>
      <c r="R4" s="49" t="s">
        <v>277</v>
      </c>
      <c r="S4" s="49" t="s">
        <v>288</v>
      </c>
      <c r="U4" s="49" t="s">
        <v>288</v>
      </c>
    </row>
    <row r="5" spans="1:21" x14ac:dyDescent="0.3">
      <c r="A5" s="50"/>
      <c r="C5" s="44"/>
      <c r="D5" s="44"/>
      <c r="E5" s="44"/>
      <c r="F5" s="44"/>
      <c r="H5" s="44"/>
    </row>
    <row r="6" spans="1:21" s="53" customFormat="1" ht="16.899999999999999" x14ac:dyDescent="0.5">
      <c r="A6" s="51" t="s">
        <v>142</v>
      </c>
      <c r="B6" s="54"/>
      <c r="C6" s="52">
        <f>+C7+C8</f>
        <v>129.07</v>
      </c>
      <c r="D6" s="52">
        <f>+D7+D8</f>
        <v>139.267</v>
      </c>
      <c r="E6" s="52">
        <f>+E7+E8</f>
        <v>150.233</v>
      </c>
      <c r="F6" s="52">
        <f>+F7+F8</f>
        <v>157.054</v>
      </c>
      <c r="G6" s="145"/>
      <c r="H6" s="52">
        <f t="shared" ref="H6:H12" si="0">+C6+D6+E6+F6</f>
        <v>575.62400000000002</v>
      </c>
      <c r="J6" s="52">
        <f>+J7+J8</f>
        <v>144.453</v>
      </c>
      <c r="K6" s="52">
        <f>+K7+K8</f>
        <v>156.178</v>
      </c>
      <c r="L6" s="52">
        <f>+L7+L8</f>
        <v>158.81100000000001</v>
      </c>
      <c r="M6" s="52">
        <f>+M7+M8</f>
        <v>173.68700000000001</v>
      </c>
      <c r="N6" s="145"/>
      <c r="O6" s="52">
        <f t="shared" ref="O6:O12" si="1">+J6+K6+L6+M6</f>
        <v>633.12900000000002</v>
      </c>
      <c r="Q6" s="52">
        <f>+Q7+Q8</f>
        <v>159.36699999999999</v>
      </c>
      <c r="R6" s="52">
        <f>+R7+R8</f>
        <v>166.44</v>
      </c>
      <c r="S6" s="52">
        <f>+S7+S8</f>
        <v>174.22200000000001</v>
      </c>
      <c r="U6" s="52">
        <f>Q6+R6+S6</f>
        <v>500.029</v>
      </c>
    </row>
    <row r="7" spans="1:21" s="53" customFormat="1" ht="16.899999999999999" x14ac:dyDescent="0.5">
      <c r="A7" s="55" t="s">
        <v>46</v>
      </c>
      <c r="B7" s="57"/>
      <c r="C7" s="56">
        <f>+'Cloud Metrics'!B10</f>
        <v>55.019999999999996</v>
      </c>
      <c r="D7" s="56">
        <f>+'Cloud Metrics'!C10</f>
        <v>62.557000000000002</v>
      </c>
      <c r="E7" s="56">
        <f>+'Cloud Metrics'!D10</f>
        <v>73.867000000000004</v>
      </c>
      <c r="F7" s="56">
        <f>+'Cloud Metrics'!E10</f>
        <v>85.966999999999999</v>
      </c>
      <c r="G7" s="149"/>
      <c r="H7" s="56">
        <f t="shared" si="0"/>
        <v>277.411</v>
      </c>
      <c r="J7" s="56">
        <f>'Cloud Metrics'!I10</f>
        <v>80.05</v>
      </c>
      <c r="K7" s="56">
        <f>'Cloud Metrics'!J10</f>
        <v>93.256</v>
      </c>
      <c r="L7" s="56">
        <f>'Cloud Metrics'!K10</f>
        <v>98.461000000000013</v>
      </c>
      <c r="M7" s="56">
        <f>'Cloud Metrics'!L10</f>
        <v>116.64500000000001</v>
      </c>
      <c r="N7" s="149"/>
      <c r="O7" s="56">
        <f t="shared" si="1"/>
        <v>388.41200000000003</v>
      </c>
      <c r="Q7" s="56">
        <f>'Cloud Metrics'!P10</f>
        <v>110.64299999999999</v>
      </c>
      <c r="R7" s="56">
        <f>'Cloud Metrics'!Q10</f>
        <v>118.33200000000001</v>
      </c>
      <c r="S7" s="56">
        <f>'Cloud Metrics'!R10</f>
        <v>131.22300000000001</v>
      </c>
      <c r="U7" s="56">
        <f t="shared" ref="U7:U28" si="2">Q7+R7+S7</f>
        <v>360.19799999999998</v>
      </c>
    </row>
    <row r="8" spans="1:21" s="53" customFormat="1" ht="15" customHeight="1" x14ac:dyDescent="0.5">
      <c r="A8" s="55" t="s">
        <v>47</v>
      </c>
      <c r="B8" s="58"/>
      <c r="C8" s="59">
        <v>74.05</v>
      </c>
      <c r="D8" s="59">
        <v>76.709999999999994</v>
      </c>
      <c r="E8" s="59">
        <v>76.366</v>
      </c>
      <c r="F8" s="59">
        <v>71.087000000000003</v>
      </c>
      <c r="G8" s="146"/>
      <c r="H8" s="59">
        <f t="shared" si="0"/>
        <v>298.21299999999997</v>
      </c>
      <c r="J8" s="59">
        <v>64.403000000000006</v>
      </c>
      <c r="K8" s="59">
        <v>62.921999999999997</v>
      </c>
      <c r="L8" s="59">
        <v>60.35</v>
      </c>
      <c r="M8" s="59">
        <v>57.042000000000002</v>
      </c>
      <c r="N8" s="146"/>
      <c r="O8" s="59">
        <f t="shared" si="1"/>
        <v>244.71700000000001</v>
      </c>
      <c r="Q8" s="59">
        <v>48.723999999999997</v>
      </c>
      <c r="R8" s="59">
        <v>48.107999999999997</v>
      </c>
      <c r="S8" s="59">
        <v>42.999000000000002</v>
      </c>
      <c r="U8" s="59">
        <f t="shared" si="2"/>
        <v>139.83099999999999</v>
      </c>
    </row>
    <row r="9" spans="1:21" s="53" customFormat="1" ht="16.899999999999999" x14ac:dyDescent="0.5">
      <c r="A9" s="51" t="s">
        <v>144</v>
      </c>
      <c r="B9" s="61"/>
      <c r="C9" s="60">
        <f>+C10+C11</f>
        <v>56.795000000000002</v>
      </c>
      <c r="D9" s="60">
        <f>+D10+D11</f>
        <v>64.813000000000002</v>
      </c>
      <c r="E9" s="60">
        <f>+E10+E11</f>
        <v>64.989000000000004</v>
      </c>
      <c r="F9" s="60">
        <f>+F10+F11</f>
        <v>68.025999999999996</v>
      </c>
      <c r="G9" s="150"/>
      <c r="H9" s="60">
        <f t="shared" si="0"/>
        <v>254.62299999999999</v>
      </c>
      <c r="J9" s="60">
        <f>+J10+J11</f>
        <v>56.451000000000001</v>
      </c>
      <c r="K9" s="60">
        <f>+K10+K11</f>
        <v>58.438999999999993</v>
      </c>
      <c r="L9" s="60">
        <f>+L10+L11</f>
        <v>66.009</v>
      </c>
      <c r="M9" s="60">
        <f>+M10+M11</f>
        <v>60.480999999999995</v>
      </c>
      <c r="N9" s="150"/>
      <c r="O9" s="60">
        <f t="shared" si="1"/>
        <v>241.38</v>
      </c>
      <c r="Q9" s="60">
        <f>+Q10+Q11</f>
        <v>58.539000000000001</v>
      </c>
      <c r="R9" s="60">
        <f>+R10+R11</f>
        <v>56.459000000000003</v>
      </c>
      <c r="S9" s="60">
        <f>+S10+S11</f>
        <v>50.971000000000004</v>
      </c>
      <c r="U9" s="60">
        <f t="shared" si="2"/>
        <v>165.96899999999999</v>
      </c>
    </row>
    <row r="10" spans="1:21" s="53" customFormat="1" ht="16.899999999999999" x14ac:dyDescent="0.5">
      <c r="A10" s="55" t="s">
        <v>45</v>
      </c>
      <c r="B10" s="57"/>
      <c r="C10" s="56">
        <v>28.524999999999999</v>
      </c>
      <c r="D10" s="56">
        <v>35.829000000000001</v>
      </c>
      <c r="E10" s="56">
        <v>35.460999999999999</v>
      </c>
      <c r="F10" s="56">
        <v>42.024999999999999</v>
      </c>
      <c r="G10" s="149"/>
      <c r="H10" s="56">
        <f t="shared" si="0"/>
        <v>141.84</v>
      </c>
      <c r="J10" s="56">
        <v>29.323</v>
      </c>
      <c r="K10" s="56">
        <v>32.348999999999997</v>
      </c>
      <c r="L10" s="56">
        <v>40.436</v>
      </c>
      <c r="M10" s="56">
        <v>35.97</v>
      </c>
      <c r="N10" s="149"/>
      <c r="O10" s="56">
        <f t="shared" si="1"/>
        <v>138.078</v>
      </c>
      <c r="Q10" s="56">
        <v>33.258000000000003</v>
      </c>
      <c r="R10" s="56">
        <v>30.79</v>
      </c>
      <c r="S10" s="56">
        <v>24.425000000000001</v>
      </c>
      <c r="U10" s="56">
        <f t="shared" si="2"/>
        <v>88.472999999999999</v>
      </c>
    </row>
    <row r="11" spans="1:21" s="53" customFormat="1" ht="16.899999999999999" x14ac:dyDescent="0.5">
      <c r="A11" s="55" t="s">
        <v>145</v>
      </c>
      <c r="B11" s="61"/>
      <c r="C11" s="134">
        <v>28.27</v>
      </c>
      <c r="D11" s="134">
        <v>28.984000000000002</v>
      </c>
      <c r="E11" s="134">
        <v>29.527999999999999</v>
      </c>
      <c r="F11" s="134">
        <v>26.001000000000001</v>
      </c>
      <c r="G11" s="151"/>
      <c r="H11" s="134">
        <f t="shared" si="0"/>
        <v>112.78300000000002</v>
      </c>
      <c r="J11" s="134">
        <v>27.128</v>
      </c>
      <c r="K11" s="134">
        <v>26.09</v>
      </c>
      <c r="L11" s="134">
        <v>25.573</v>
      </c>
      <c r="M11" s="134">
        <v>24.510999999999999</v>
      </c>
      <c r="N11" s="151"/>
      <c r="O11" s="134">
        <f t="shared" si="1"/>
        <v>103.30199999999999</v>
      </c>
      <c r="Q11" s="134">
        <v>25.280999999999999</v>
      </c>
      <c r="R11" s="134">
        <v>25.669</v>
      </c>
      <c r="S11" s="134">
        <v>26.545999999999999</v>
      </c>
      <c r="U11" s="134">
        <f t="shared" si="2"/>
        <v>77.496000000000009</v>
      </c>
    </row>
    <row r="12" spans="1:21" s="53" customFormat="1" ht="16.899999999999999" x14ac:dyDescent="0.5">
      <c r="A12" s="51" t="s">
        <v>48</v>
      </c>
      <c r="B12" s="54"/>
      <c r="C12" s="136">
        <f>+C6+C9</f>
        <v>185.86500000000001</v>
      </c>
      <c r="D12" s="136">
        <f>+D6+D9</f>
        <v>204.07999999999998</v>
      </c>
      <c r="E12" s="136">
        <f>+E6+E9</f>
        <v>215.22200000000001</v>
      </c>
      <c r="F12" s="136">
        <f>+F6+F9</f>
        <v>225.07999999999998</v>
      </c>
      <c r="G12" s="145"/>
      <c r="H12" s="136">
        <f t="shared" si="0"/>
        <v>830.24700000000007</v>
      </c>
      <c r="J12" s="136">
        <f>+J6+J9</f>
        <v>200.904</v>
      </c>
      <c r="K12" s="136">
        <f>+K6+K9</f>
        <v>214.61699999999999</v>
      </c>
      <c r="L12" s="136">
        <f>+L6+L9</f>
        <v>224.82</v>
      </c>
      <c r="M12" s="136">
        <f>+M6+M9</f>
        <v>234.16800000000001</v>
      </c>
      <c r="N12" s="145"/>
      <c r="O12" s="136">
        <f t="shared" si="1"/>
        <v>874.5089999999999</v>
      </c>
      <c r="Q12" s="136">
        <f>+Q6+Q9</f>
        <v>217.90600000000001</v>
      </c>
      <c r="R12" s="136">
        <f>+R6+R9</f>
        <v>222.899</v>
      </c>
      <c r="S12" s="136">
        <f>+S6+S9</f>
        <v>225.19300000000001</v>
      </c>
      <c r="U12" s="136">
        <f t="shared" si="2"/>
        <v>665.99800000000005</v>
      </c>
    </row>
    <row r="13" spans="1:21" s="53" customFormat="1" ht="16.899999999999999" x14ac:dyDescent="0.5">
      <c r="A13" s="51"/>
      <c r="C13" s="137"/>
      <c r="D13" s="137"/>
      <c r="E13" s="137"/>
      <c r="F13" s="137"/>
      <c r="G13" s="137"/>
      <c r="H13" s="137"/>
      <c r="J13" s="137"/>
      <c r="K13" s="137"/>
      <c r="L13" s="137"/>
      <c r="M13" s="137"/>
      <c r="N13" s="137"/>
      <c r="O13" s="137"/>
      <c r="Q13" s="137"/>
      <c r="R13" s="137"/>
      <c r="S13" s="137"/>
      <c r="U13" s="137"/>
    </row>
    <row r="14" spans="1:21" s="53" customFormat="1" ht="16.899999999999999" x14ac:dyDescent="0.5">
      <c r="A14" s="51" t="s">
        <v>146</v>
      </c>
      <c r="C14" s="63">
        <f>C22-C6</f>
        <v>3.2620000000000005</v>
      </c>
      <c r="D14" s="63">
        <f>D22-D6</f>
        <v>3.0660000000000025</v>
      </c>
      <c r="E14" s="63">
        <f>E22-E6</f>
        <v>2.2269999999999754</v>
      </c>
      <c r="F14" s="63">
        <f>F22-F6</f>
        <v>1.7809999999999775</v>
      </c>
      <c r="G14" s="152"/>
      <c r="H14" s="63">
        <f t="shared" ref="H14:H20" si="3">+C14+D14+E14+F14</f>
        <v>10.335999999999956</v>
      </c>
      <c r="J14" s="63">
        <f>J22-J6</f>
        <v>1.0390000000000157</v>
      </c>
      <c r="K14" s="63">
        <f>K22-K6</f>
        <v>1.0130000000000052</v>
      </c>
      <c r="L14" s="63">
        <f>L22-L6</f>
        <v>2.1079999999999757</v>
      </c>
      <c r="M14" s="63">
        <f>M22-M6</f>
        <v>2.0109999999999957</v>
      </c>
      <c r="N14" s="152"/>
      <c r="O14" s="63">
        <f t="shared" ref="O14:O20" si="4">+J14+K14+L14+M14</f>
        <v>6.1709999999999923</v>
      </c>
      <c r="Q14" s="63">
        <f>Q22-Q6</f>
        <v>1.3429999999999893</v>
      </c>
      <c r="R14" s="63">
        <f>R22-R6</f>
        <v>0.73199999999999932</v>
      </c>
      <c r="S14" s="63">
        <f>S22-S6</f>
        <v>0.42300000000000182</v>
      </c>
      <c r="U14" s="63">
        <f t="shared" si="2"/>
        <v>2.4979999999999905</v>
      </c>
    </row>
    <row r="15" spans="1:21" s="53" customFormat="1" ht="16.899999999999999" x14ac:dyDescent="0.5">
      <c r="A15" s="55" t="s">
        <v>50</v>
      </c>
      <c r="B15" s="58"/>
      <c r="C15" s="56">
        <f t="shared" ref="C15:J19" si="5">C23-C7</f>
        <v>3.2070000000000078</v>
      </c>
      <c r="D15" s="56">
        <f t="shared" ref="D15:E15" si="6">D23-D7</f>
        <v>3.0180000000000007</v>
      </c>
      <c r="E15" s="56">
        <f t="shared" si="6"/>
        <v>2.1669999999999874</v>
      </c>
      <c r="F15" s="56">
        <f t="shared" ref="F15" si="7">F23-F7</f>
        <v>1.7710000000000008</v>
      </c>
      <c r="G15" s="149"/>
      <c r="H15" s="56">
        <f t="shared" si="3"/>
        <v>10.162999999999997</v>
      </c>
      <c r="J15" s="56">
        <f t="shared" si="5"/>
        <v>1.0310000000000059</v>
      </c>
      <c r="K15" s="56">
        <f t="shared" ref="K15:L15" si="8">K23-K7</f>
        <v>1.0040000000000049</v>
      </c>
      <c r="L15" s="56">
        <f t="shared" si="8"/>
        <v>2.09699999999998</v>
      </c>
      <c r="M15" s="56">
        <f t="shared" ref="M15" si="9">M23-M7</f>
        <v>2.0009999999999906</v>
      </c>
      <c r="N15" s="149"/>
      <c r="O15" s="56">
        <f t="shared" si="4"/>
        <v>6.1329999999999814</v>
      </c>
      <c r="Q15" s="56">
        <f t="shared" ref="Q15:R15" si="10">Q23-Q7</f>
        <v>1.3290000000000077</v>
      </c>
      <c r="R15" s="56">
        <f t="shared" si="10"/>
        <v>0.73199999999999932</v>
      </c>
      <c r="S15" s="56">
        <f t="shared" ref="S15" si="11">S23-S7</f>
        <v>0.42300000000000182</v>
      </c>
      <c r="U15" s="56">
        <f t="shared" si="2"/>
        <v>2.4840000000000089</v>
      </c>
    </row>
    <row r="16" spans="1:21" s="53" customFormat="1" ht="16.899999999999999" x14ac:dyDescent="0.5">
      <c r="A16" s="55" t="s">
        <v>51</v>
      </c>
      <c r="B16" s="58"/>
      <c r="C16" s="64">
        <f t="shared" si="5"/>
        <v>5.5000000000006821E-2</v>
      </c>
      <c r="D16" s="64">
        <f t="shared" ref="D16:E16" si="12">D24-D8</f>
        <v>4.8000000000001819E-2</v>
      </c>
      <c r="E16" s="64">
        <f t="shared" si="12"/>
        <v>6.0000000000002274E-2</v>
      </c>
      <c r="F16" s="64">
        <f t="shared" ref="F16" si="13">F24-F8</f>
        <v>9.9999999999909051E-3</v>
      </c>
      <c r="G16" s="151"/>
      <c r="H16" s="64">
        <f t="shared" si="3"/>
        <v>0.17300000000000182</v>
      </c>
      <c r="J16" s="64">
        <f t="shared" si="5"/>
        <v>7.9999999999955662E-3</v>
      </c>
      <c r="K16" s="64">
        <f t="shared" ref="K16:L16" si="14">K24-K8</f>
        <v>9.0000000000003411E-3</v>
      </c>
      <c r="L16" s="64">
        <f t="shared" si="14"/>
        <v>1.099999999999568E-2</v>
      </c>
      <c r="M16" s="64">
        <f t="shared" ref="M16" si="15">M24-M8</f>
        <v>9.9999999999980105E-3</v>
      </c>
      <c r="N16" s="151"/>
      <c r="O16" s="64">
        <f t="shared" si="4"/>
        <v>3.7999999999989598E-2</v>
      </c>
      <c r="Q16" s="64">
        <f t="shared" ref="Q16:R16" si="16">Q24-Q8</f>
        <v>1.4000000000002899E-2</v>
      </c>
      <c r="R16" s="64">
        <f t="shared" si="16"/>
        <v>0</v>
      </c>
      <c r="S16" s="64">
        <f t="shared" ref="S16" si="17">S24-S8</f>
        <v>0</v>
      </c>
      <c r="U16" s="64">
        <f t="shared" si="2"/>
        <v>1.4000000000002899E-2</v>
      </c>
    </row>
    <row r="17" spans="1:21" s="53" customFormat="1" ht="16.899999999999999" x14ac:dyDescent="0.5">
      <c r="A17" s="51" t="s">
        <v>151</v>
      </c>
      <c r="C17" s="60">
        <f t="shared" si="5"/>
        <v>0</v>
      </c>
      <c r="D17" s="60">
        <f t="shared" ref="D17:E17" si="18">D25-D9</f>
        <v>0</v>
      </c>
      <c r="E17" s="60">
        <f t="shared" si="18"/>
        <v>0</v>
      </c>
      <c r="F17" s="60">
        <f t="shared" ref="F17" si="19">F25-F9</f>
        <v>0</v>
      </c>
      <c r="G17" s="150"/>
      <c r="H17" s="60">
        <f t="shared" si="3"/>
        <v>0</v>
      </c>
      <c r="J17" s="60">
        <f t="shared" si="5"/>
        <v>0</v>
      </c>
      <c r="K17" s="60">
        <f t="shared" ref="K17:L17" si="20">K25-K9</f>
        <v>0</v>
      </c>
      <c r="L17" s="60">
        <f t="shared" si="20"/>
        <v>0</v>
      </c>
      <c r="M17" s="60">
        <f t="shared" ref="M17" si="21">M25-M9</f>
        <v>0</v>
      </c>
      <c r="N17" s="150"/>
      <c r="O17" s="60">
        <f t="shared" si="4"/>
        <v>0</v>
      </c>
      <c r="Q17" s="60">
        <f t="shared" ref="Q17:R17" si="22">Q25-Q9</f>
        <v>0</v>
      </c>
      <c r="R17" s="60">
        <f t="shared" si="22"/>
        <v>0</v>
      </c>
      <c r="S17" s="60">
        <f t="shared" ref="S17" si="23">S25-S9</f>
        <v>0</v>
      </c>
      <c r="U17" s="60">
        <f t="shared" si="2"/>
        <v>0</v>
      </c>
    </row>
    <row r="18" spans="1:21" s="58" customFormat="1" ht="16.5" x14ac:dyDescent="0.45">
      <c r="A18" s="55" t="s">
        <v>49</v>
      </c>
      <c r="C18" s="56">
        <f t="shared" si="5"/>
        <v>0</v>
      </c>
      <c r="D18" s="56">
        <f t="shared" ref="D18:E18" si="24">D26-D10</f>
        <v>0</v>
      </c>
      <c r="E18" s="56">
        <f t="shared" si="24"/>
        <v>0</v>
      </c>
      <c r="F18" s="56">
        <f t="shared" ref="F18" si="25">F26-F10</f>
        <v>0</v>
      </c>
      <c r="G18" s="149"/>
      <c r="H18" s="56">
        <f t="shared" si="3"/>
        <v>0</v>
      </c>
      <c r="J18" s="56">
        <f t="shared" si="5"/>
        <v>0</v>
      </c>
      <c r="K18" s="56">
        <f t="shared" ref="K18:L18" si="26">K26-K10</f>
        <v>0</v>
      </c>
      <c r="L18" s="56">
        <f t="shared" si="26"/>
        <v>0</v>
      </c>
      <c r="M18" s="56">
        <f t="shared" ref="M18" si="27">M26-M10</f>
        <v>0</v>
      </c>
      <c r="N18" s="149"/>
      <c r="O18" s="56">
        <f t="shared" si="4"/>
        <v>0</v>
      </c>
      <c r="Q18" s="56">
        <f t="shared" ref="Q18:R18" si="28">Q26-Q10</f>
        <v>0</v>
      </c>
      <c r="R18" s="56">
        <f t="shared" si="28"/>
        <v>0</v>
      </c>
      <c r="S18" s="56">
        <f t="shared" ref="S18" si="29">S26-S10</f>
        <v>0</v>
      </c>
      <c r="U18" s="56">
        <f t="shared" si="2"/>
        <v>0</v>
      </c>
    </row>
    <row r="19" spans="1:21" s="58" customFormat="1" ht="16.5" x14ac:dyDescent="0.45">
      <c r="A19" s="55" t="s">
        <v>150</v>
      </c>
      <c r="C19" s="134">
        <f t="shared" si="5"/>
        <v>0</v>
      </c>
      <c r="D19" s="134">
        <f t="shared" ref="D19:E19" si="30">D27-D11</f>
        <v>0</v>
      </c>
      <c r="E19" s="134">
        <f t="shared" si="30"/>
        <v>0</v>
      </c>
      <c r="F19" s="134">
        <f t="shared" ref="F19" si="31">F27-F11</f>
        <v>0</v>
      </c>
      <c r="G19" s="151"/>
      <c r="H19" s="134">
        <f t="shared" si="3"/>
        <v>0</v>
      </c>
      <c r="J19" s="134">
        <f t="shared" si="5"/>
        <v>0</v>
      </c>
      <c r="K19" s="134">
        <f t="shared" ref="K19:L19" si="32">K27-K11</f>
        <v>0</v>
      </c>
      <c r="L19" s="134">
        <f t="shared" si="32"/>
        <v>0</v>
      </c>
      <c r="M19" s="134">
        <f t="shared" ref="M19" si="33">M27-M11</f>
        <v>0</v>
      </c>
      <c r="N19" s="151"/>
      <c r="O19" s="134">
        <f t="shared" si="4"/>
        <v>0</v>
      </c>
      <c r="Q19" s="134">
        <f t="shared" ref="Q19:R19" si="34">Q27-Q11</f>
        <v>0</v>
      </c>
      <c r="R19" s="134">
        <f t="shared" si="34"/>
        <v>0</v>
      </c>
      <c r="S19" s="134">
        <f t="shared" ref="S19" si="35">S27-S11</f>
        <v>0</v>
      </c>
      <c r="U19" s="134">
        <f t="shared" si="2"/>
        <v>0</v>
      </c>
    </row>
    <row r="20" spans="1:21" s="53" customFormat="1" ht="16.899999999999999" x14ac:dyDescent="0.5">
      <c r="A20" s="51" t="s">
        <v>52</v>
      </c>
      <c r="C20" s="94">
        <f>C28-C12</f>
        <v>3.2620000000000005</v>
      </c>
      <c r="D20" s="94">
        <f>D28-D12</f>
        <v>3.0660000000000309</v>
      </c>
      <c r="E20" s="94">
        <f>E28-E12</f>
        <v>2.2269999999999754</v>
      </c>
      <c r="F20" s="94">
        <f>F28-F12</f>
        <v>1.7810000000000059</v>
      </c>
      <c r="G20" s="153"/>
      <c r="H20" s="94">
        <f t="shared" si="3"/>
        <v>10.336000000000013</v>
      </c>
      <c r="J20" s="94">
        <f>J28-J12</f>
        <v>1.0390000000000157</v>
      </c>
      <c r="K20" s="94">
        <f>K28-K12</f>
        <v>1.0130000000000052</v>
      </c>
      <c r="L20" s="94">
        <f>L28-L12</f>
        <v>2.1080000000000041</v>
      </c>
      <c r="M20" s="94">
        <f>M28-M12</f>
        <v>2.0109999999999957</v>
      </c>
      <c r="N20" s="153"/>
      <c r="O20" s="94">
        <f t="shared" si="4"/>
        <v>6.1710000000000207</v>
      </c>
      <c r="Q20" s="94">
        <f>Q28-Q12</f>
        <v>1.3429999999999609</v>
      </c>
      <c r="R20" s="94">
        <f>R28-R12</f>
        <v>0.73199999999999932</v>
      </c>
      <c r="S20" s="94">
        <f>S28-S12</f>
        <v>0.42300000000000182</v>
      </c>
      <c r="U20" s="94">
        <f t="shared" si="2"/>
        <v>2.497999999999962</v>
      </c>
    </row>
    <row r="21" spans="1:21" s="53" customFormat="1" ht="16.899999999999999" x14ac:dyDescent="0.5">
      <c r="A21" s="51"/>
      <c r="C21" s="62"/>
      <c r="D21" s="62"/>
      <c r="E21" s="62"/>
      <c r="F21" s="62"/>
      <c r="G21" s="137"/>
      <c r="H21" s="62"/>
      <c r="J21" s="62"/>
      <c r="K21" s="62"/>
      <c r="L21" s="62"/>
      <c r="M21" s="62"/>
      <c r="N21" s="137"/>
      <c r="O21" s="62"/>
      <c r="Q21" s="62"/>
      <c r="R21" s="62"/>
      <c r="S21" s="62"/>
      <c r="U21" s="62"/>
    </row>
    <row r="22" spans="1:21" s="53" customFormat="1" ht="16.899999999999999" x14ac:dyDescent="0.5">
      <c r="A22" s="51" t="s">
        <v>148</v>
      </c>
      <c r="B22" s="54"/>
      <c r="C22" s="52">
        <f>+C24+C23</f>
        <v>132.33199999999999</v>
      </c>
      <c r="D22" s="52">
        <f>+D24+D23</f>
        <v>142.333</v>
      </c>
      <c r="E22" s="52">
        <f>+E24+E23</f>
        <v>152.45999999999998</v>
      </c>
      <c r="F22" s="52">
        <f>+F24+F23</f>
        <v>158.83499999999998</v>
      </c>
      <c r="G22" s="145"/>
      <c r="H22" s="52">
        <f t="shared" ref="H22:H28" si="36">+C22+D22+E22+F22</f>
        <v>585.95999999999992</v>
      </c>
      <c r="J22" s="52">
        <f>+J24+J23</f>
        <v>145.49200000000002</v>
      </c>
      <c r="K22" s="52">
        <f>+K24+K23</f>
        <v>157.191</v>
      </c>
      <c r="L22" s="52">
        <f>+L24+L23</f>
        <v>160.91899999999998</v>
      </c>
      <c r="M22" s="52">
        <f>+M24+M23</f>
        <v>175.69800000000001</v>
      </c>
      <c r="N22" s="145"/>
      <c r="O22" s="52">
        <f t="shared" ref="O22:O28" si="37">+J22+K22+L22+M22</f>
        <v>639.29999999999995</v>
      </c>
      <c r="Q22" s="52">
        <f>+Q24+Q23</f>
        <v>160.70999999999998</v>
      </c>
      <c r="R22" s="52">
        <f>+R24+R23</f>
        <v>167.172</v>
      </c>
      <c r="S22" s="52">
        <f>+S24+S23</f>
        <v>174.64500000000001</v>
      </c>
      <c r="U22" s="52">
        <f t="shared" si="2"/>
        <v>502.52699999999993</v>
      </c>
    </row>
    <row r="23" spans="1:21" s="53" customFormat="1" ht="16.899999999999999" x14ac:dyDescent="0.5">
      <c r="A23" s="55" t="s">
        <v>54</v>
      </c>
      <c r="B23" s="58"/>
      <c r="C23" s="56">
        <f>+'Cloud Metrics'!B22</f>
        <v>58.227000000000004</v>
      </c>
      <c r="D23" s="56">
        <f>+'Cloud Metrics'!C22</f>
        <v>65.575000000000003</v>
      </c>
      <c r="E23" s="56">
        <f>+'Cloud Metrics'!D22</f>
        <v>76.033999999999992</v>
      </c>
      <c r="F23" s="56">
        <f>+'Cloud Metrics'!E22</f>
        <v>87.738</v>
      </c>
      <c r="G23" s="149"/>
      <c r="H23" s="56">
        <f t="shared" si="36"/>
        <v>287.57400000000001</v>
      </c>
      <c r="J23" s="56">
        <f>'Cloud Metrics'!I22</f>
        <v>81.081000000000003</v>
      </c>
      <c r="K23" s="56">
        <f>'Cloud Metrics'!J22</f>
        <v>94.26</v>
      </c>
      <c r="L23" s="56">
        <f>'Cloud Metrics'!K22</f>
        <v>100.55799999999999</v>
      </c>
      <c r="M23" s="56">
        <f>'Cloud Metrics'!L22</f>
        <v>118.646</v>
      </c>
      <c r="N23" s="149"/>
      <c r="O23" s="56">
        <f t="shared" si="37"/>
        <v>394.54500000000002</v>
      </c>
      <c r="Q23" s="56">
        <f>'Cloud Metrics'!P22</f>
        <v>111.97199999999999</v>
      </c>
      <c r="R23" s="56">
        <f>'Cloud Metrics'!Q22</f>
        <v>119.06400000000001</v>
      </c>
      <c r="S23" s="56">
        <f>'Cloud Metrics'!R22</f>
        <v>131.64600000000002</v>
      </c>
      <c r="U23" s="56">
        <f t="shared" si="2"/>
        <v>362.68200000000002</v>
      </c>
    </row>
    <row r="24" spans="1:21" s="53" customFormat="1" ht="16.899999999999999" x14ac:dyDescent="0.5">
      <c r="A24" s="55" t="s">
        <v>55</v>
      </c>
      <c r="B24" s="58"/>
      <c r="C24" s="59">
        <f>76.128-2.023</f>
        <v>74.105000000000004</v>
      </c>
      <c r="D24" s="59">
        <v>76.757999999999996</v>
      </c>
      <c r="E24" s="59">
        <v>76.426000000000002</v>
      </c>
      <c r="F24" s="59">
        <v>71.096999999999994</v>
      </c>
      <c r="G24" s="146"/>
      <c r="H24" s="59">
        <f t="shared" si="36"/>
        <v>298.38599999999997</v>
      </c>
      <c r="J24" s="59">
        <v>64.411000000000001</v>
      </c>
      <c r="K24" s="59">
        <v>62.930999999999997</v>
      </c>
      <c r="L24" s="59">
        <v>60.360999999999997</v>
      </c>
      <c r="M24" s="59">
        <v>57.052</v>
      </c>
      <c r="N24" s="146"/>
      <c r="O24" s="59">
        <f t="shared" si="37"/>
        <v>244.755</v>
      </c>
      <c r="Q24" s="59">
        <v>48.738</v>
      </c>
      <c r="R24" s="59">
        <v>48.107999999999997</v>
      </c>
      <c r="S24" s="59">
        <v>42.999000000000002</v>
      </c>
      <c r="U24" s="59">
        <f t="shared" si="2"/>
        <v>139.845</v>
      </c>
    </row>
    <row r="25" spans="1:21" s="53" customFormat="1" ht="16.899999999999999" x14ac:dyDescent="0.5">
      <c r="A25" s="51" t="s">
        <v>149</v>
      </c>
      <c r="C25" s="63">
        <f>C26+C27</f>
        <v>56.795000000000002</v>
      </c>
      <c r="D25" s="63">
        <f>D26+D27</f>
        <v>64.813000000000002</v>
      </c>
      <c r="E25" s="63">
        <f>E26+E27</f>
        <v>64.989000000000004</v>
      </c>
      <c r="F25" s="63">
        <f>F26+F27</f>
        <v>68.025999999999996</v>
      </c>
      <c r="G25" s="152"/>
      <c r="H25" s="63">
        <f t="shared" si="36"/>
        <v>254.62299999999999</v>
      </c>
      <c r="J25" s="63">
        <f>J26+J27</f>
        <v>56.451000000000001</v>
      </c>
      <c r="K25" s="63">
        <f>K26+K27</f>
        <v>58.438999999999993</v>
      </c>
      <c r="L25" s="63">
        <f>L26+L27</f>
        <v>66.009</v>
      </c>
      <c r="M25" s="63">
        <f>M26+M27</f>
        <v>60.480999999999995</v>
      </c>
      <c r="N25" s="152"/>
      <c r="O25" s="63">
        <f t="shared" si="37"/>
        <v>241.38</v>
      </c>
      <c r="Q25" s="63">
        <f>Q26+Q27</f>
        <v>58.539000000000001</v>
      </c>
      <c r="R25" s="63">
        <f>R26+R27</f>
        <v>56.459000000000003</v>
      </c>
      <c r="S25" s="63">
        <f>S26+S27</f>
        <v>50.971000000000004</v>
      </c>
      <c r="U25" s="63">
        <f t="shared" si="2"/>
        <v>165.96899999999999</v>
      </c>
    </row>
    <row r="26" spans="1:21" s="53" customFormat="1" ht="16.899999999999999" x14ac:dyDescent="0.5">
      <c r="A26" s="65" t="s">
        <v>53</v>
      </c>
      <c r="C26" s="56">
        <v>28.524999999999999</v>
      </c>
      <c r="D26" s="56">
        <v>35.829000000000001</v>
      </c>
      <c r="E26" s="56">
        <v>35.460999999999999</v>
      </c>
      <c r="F26" s="56">
        <v>42.024999999999999</v>
      </c>
      <c r="G26" s="149"/>
      <c r="H26" s="56">
        <f t="shared" si="36"/>
        <v>141.84</v>
      </c>
      <c r="J26" s="56">
        <v>29.323</v>
      </c>
      <c r="K26" s="56">
        <v>32.348999999999997</v>
      </c>
      <c r="L26" s="56">
        <v>40.436</v>
      </c>
      <c r="M26" s="56">
        <v>35.97</v>
      </c>
      <c r="N26" s="149"/>
      <c r="O26" s="56">
        <f t="shared" si="37"/>
        <v>138.078</v>
      </c>
      <c r="Q26" s="56">
        <v>33.258000000000003</v>
      </c>
      <c r="R26" s="56">
        <v>30.79</v>
      </c>
      <c r="S26" s="56">
        <v>24.425000000000001</v>
      </c>
      <c r="U26" s="56">
        <f t="shared" si="2"/>
        <v>88.472999999999999</v>
      </c>
    </row>
    <row r="27" spans="1:21" s="53" customFormat="1" ht="16.899999999999999" x14ac:dyDescent="0.5">
      <c r="A27" s="55" t="s">
        <v>147</v>
      </c>
      <c r="C27" s="134">
        <v>28.27</v>
      </c>
      <c r="D27" s="134">
        <v>28.984000000000002</v>
      </c>
      <c r="E27" s="134">
        <v>29.527999999999999</v>
      </c>
      <c r="F27" s="134">
        <v>26.001000000000001</v>
      </c>
      <c r="G27" s="151"/>
      <c r="H27" s="134">
        <f t="shared" si="36"/>
        <v>112.78300000000002</v>
      </c>
      <c r="J27" s="134">
        <v>27.128</v>
      </c>
      <c r="K27" s="134">
        <v>26.09</v>
      </c>
      <c r="L27" s="134">
        <v>25.573</v>
      </c>
      <c r="M27" s="134">
        <v>24.510999999999999</v>
      </c>
      <c r="N27" s="151"/>
      <c r="O27" s="134">
        <f t="shared" si="37"/>
        <v>103.30199999999999</v>
      </c>
      <c r="Q27" s="134">
        <v>25.280999999999999</v>
      </c>
      <c r="R27" s="134">
        <v>25.669</v>
      </c>
      <c r="S27" s="134">
        <v>26.545999999999999</v>
      </c>
      <c r="U27" s="134">
        <f t="shared" si="2"/>
        <v>77.496000000000009</v>
      </c>
    </row>
    <row r="28" spans="1:21" s="53" customFormat="1" ht="16.899999999999999" x14ac:dyDescent="0.5">
      <c r="A28" s="66" t="s">
        <v>56</v>
      </c>
      <c r="C28" s="136">
        <f>+C22+C25</f>
        <v>189.12700000000001</v>
      </c>
      <c r="D28" s="136">
        <f>+D22+D25</f>
        <v>207.14600000000002</v>
      </c>
      <c r="E28" s="136">
        <f>+E22+E25</f>
        <v>217.44899999999998</v>
      </c>
      <c r="F28" s="136">
        <f>+F22+F25</f>
        <v>226.86099999999999</v>
      </c>
      <c r="G28" s="145"/>
      <c r="H28" s="136">
        <f t="shared" si="36"/>
        <v>840.58299999999997</v>
      </c>
      <c r="J28" s="136">
        <f>+J22+J25</f>
        <v>201.94300000000001</v>
      </c>
      <c r="K28" s="136">
        <f>+K22+K25</f>
        <v>215.63</v>
      </c>
      <c r="L28" s="136">
        <f>+L22+L25</f>
        <v>226.928</v>
      </c>
      <c r="M28" s="136">
        <f>+M22+M25</f>
        <v>236.179</v>
      </c>
      <c r="N28" s="145"/>
      <c r="O28" s="136">
        <f t="shared" si="37"/>
        <v>880.68</v>
      </c>
      <c r="Q28" s="136">
        <f>+Q22+Q25</f>
        <v>219.24899999999997</v>
      </c>
      <c r="R28" s="136">
        <f>+R22+R25</f>
        <v>223.631</v>
      </c>
      <c r="S28" s="136">
        <f>+S22+S25</f>
        <v>225.61600000000001</v>
      </c>
      <c r="U28" s="136">
        <f t="shared" si="2"/>
        <v>668.49599999999998</v>
      </c>
    </row>
    <row r="29" spans="1:21" s="58" customFormat="1" ht="16.5" x14ac:dyDescent="0.45">
      <c r="C29" s="135"/>
      <c r="D29" s="135"/>
      <c r="E29" s="135"/>
      <c r="F29" s="135"/>
      <c r="G29" s="146"/>
      <c r="H29" s="135"/>
    </row>
    <row r="30" spans="1:21" ht="16.5" x14ac:dyDescent="0.3">
      <c r="A30" s="42"/>
      <c r="C30" s="44"/>
      <c r="D30" s="44"/>
      <c r="E30" s="44"/>
      <c r="F30" s="44"/>
      <c r="H30" s="44"/>
    </row>
    <row r="31" spans="1:21" x14ac:dyDescent="0.3">
      <c r="A31" s="44"/>
      <c r="C31" s="44"/>
      <c r="D31" s="44"/>
      <c r="E31" s="44"/>
      <c r="F31" s="44"/>
      <c r="H31" s="44"/>
    </row>
    <row r="32" spans="1:21" x14ac:dyDescent="0.3">
      <c r="A32" s="44"/>
      <c r="C32" s="44"/>
      <c r="D32" s="44"/>
      <c r="E32" s="44"/>
      <c r="F32" s="44"/>
      <c r="H32" s="44"/>
    </row>
    <row r="33" s="44" customFormat="1" x14ac:dyDescent="0.3"/>
    <row r="34" s="44" customFormat="1" x14ac:dyDescent="0.3"/>
    <row r="35" s="44" customFormat="1" x14ac:dyDescent="0.3"/>
    <row r="36" s="44" customFormat="1" x14ac:dyDescent="0.3"/>
    <row r="37" s="44" customFormat="1" x14ac:dyDescent="0.3"/>
    <row r="38" s="44" customFormat="1" x14ac:dyDescent="0.3"/>
    <row r="39" s="44" customFormat="1" x14ac:dyDescent="0.3"/>
    <row r="40" s="44" customFormat="1" x14ac:dyDescent="0.3"/>
    <row r="41" s="44" customFormat="1" x14ac:dyDescent="0.3"/>
    <row r="42" s="44" customFormat="1" x14ac:dyDescent="0.3"/>
    <row r="43" s="44" customFormat="1" x14ac:dyDescent="0.3"/>
    <row r="44" s="44" customFormat="1" x14ac:dyDescent="0.3"/>
    <row r="45" s="44" customFormat="1" x14ac:dyDescent="0.3"/>
    <row r="46" s="44" customFormat="1" x14ac:dyDescent="0.3"/>
    <row r="47" s="44" customFormat="1" x14ac:dyDescent="0.3"/>
    <row r="48" s="44" customFormat="1" x14ac:dyDescent="0.3"/>
    <row r="49" s="44" customFormat="1" x14ac:dyDescent="0.3"/>
    <row r="50" s="44" customFormat="1" x14ac:dyDescent="0.3"/>
    <row r="51" s="44" customFormat="1" x14ac:dyDescent="0.3"/>
    <row r="52" s="44" customFormat="1" x14ac:dyDescent="0.3"/>
    <row r="53" s="44" customFormat="1" x14ac:dyDescent="0.3"/>
    <row r="54" s="44" customFormat="1" x14ac:dyDescent="0.3"/>
    <row r="55" s="44" customFormat="1" x14ac:dyDescent="0.3"/>
    <row r="56" s="44" customFormat="1" x14ac:dyDescent="0.3"/>
    <row r="57" s="44" customFormat="1" x14ac:dyDescent="0.3"/>
    <row r="58" s="44" customFormat="1" x14ac:dyDescent="0.3"/>
    <row r="59" s="44" customFormat="1" x14ac:dyDescent="0.3"/>
    <row r="60" s="44" customFormat="1" x14ac:dyDescent="0.3"/>
    <row r="61" s="44" customFormat="1" x14ac:dyDescent="0.3"/>
    <row r="62" s="44" customFormat="1" x14ac:dyDescent="0.3"/>
    <row r="63" s="44" customFormat="1" x14ac:dyDescent="0.3"/>
    <row r="64" s="44" customFormat="1" x14ac:dyDescent="0.3"/>
    <row r="65" s="44" customFormat="1" x14ac:dyDescent="0.3"/>
    <row r="66" s="44" customFormat="1" x14ac:dyDescent="0.3"/>
    <row r="67" s="44" customFormat="1" x14ac:dyDescent="0.3"/>
    <row r="68" s="44" customFormat="1" x14ac:dyDescent="0.3"/>
    <row r="69" s="44" customFormat="1" x14ac:dyDescent="0.3"/>
    <row r="70" s="44" customFormat="1" x14ac:dyDescent="0.3"/>
    <row r="71" s="44" customFormat="1" x14ac:dyDescent="0.3"/>
    <row r="72" s="44" customFormat="1" x14ac:dyDescent="0.3"/>
    <row r="73" s="44" customFormat="1" x14ac:dyDescent="0.3"/>
    <row r="74" s="44" customFormat="1" x14ac:dyDescent="0.3"/>
    <row r="75" s="44" customFormat="1" x14ac:dyDescent="0.3"/>
    <row r="76" s="44" customFormat="1" x14ac:dyDescent="0.3"/>
    <row r="77" s="44" customFormat="1" x14ac:dyDescent="0.3"/>
    <row r="78" s="44" customFormat="1" x14ac:dyDescent="0.3"/>
    <row r="79" s="44" customFormat="1" x14ac:dyDescent="0.3"/>
    <row r="80" s="44" customFormat="1" x14ac:dyDescent="0.3"/>
    <row r="81" s="44" customFormat="1" x14ac:dyDescent="0.3"/>
    <row r="82" s="44" customFormat="1" x14ac:dyDescent="0.3"/>
    <row r="83" s="44" customFormat="1" x14ac:dyDescent="0.3"/>
    <row r="84" s="44" customFormat="1" x14ac:dyDescent="0.3"/>
    <row r="85" s="44" customFormat="1" x14ac:dyDescent="0.3"/>
    <row r="86" s="44" customFormat="1" x14ac:dyDescent="0.3"/>
    <row r="87" s="44" customFormat="1" x14ac:dyDescent="0.3"/>
    <row r="88" s="44" customFormat="1" x14ac:dyDescent="0.3"/>
    <row r="89" s="44" customFormat="1" x14ac:dyDescent="0.3"/>
    <row r="90" s="44" customFormat="1" x14ac:dyDescent="0.3"/>
    <row r="91" s="44" customFormat="1" x14ac:dyDescent="0.3"/>
    <row r="92" s="44" customFormat="1" x14ac:dyDescent="0.3"/>
    <row r="93" s="44" customFormat="1" x14ac:dyDescent="0.3"/>
    <row r="94" s="44" customFormat="1" x14ac:dyDescent="0.3"/>
    <row r="95" s="44" customFormat="1" x14ac:dyDescent="0.3"/>
    <row r="96" s="44" customFormat="1" x14ac:dyDescent="0.3"/>
    <row r="97" s="44" customFormat="1" x14ac:dyDescent="0.3"/>
    <row r="98" s="44" customFormat="1" x14ac:dyDescent="0.3"/>
    <row r="99" s="44" customFormat="1" x14ac:dyDescent="0.3"/>
    <row r="100" s="44" customFormat="1" x14ac:dyDescent="0.3"/>
    <row r="101" s="44" customFormat="1" x14ac:dyDescent="0.3"/>
    <row r="102" s="44" customFormat="1" x14ac:dyDescent="0.3"/>
    <row r="103" s="44" customFormat="1" x14ac:dyDescent="0.3"/>
    <row r="104" s="44" customFormat="1" x14ac:dyDescent="0.3"/>
    <row r="105" s="44" customFormat="1" x14ac:dyDescent="0.3"/>
    <row r="106" s="44" customFormat="1" x14ac:dyDescent="0.3"/>
    <row r="107" s="44" customFormat="1" x14ac:dyDescent="0.3"/>
    <row r="108" s="44" customFormat="1" x14ac:dyDescent="0.3"/>
    <row r="109" s="44" customFormat="1" x14ac:dyDescent="0.3"/>
    <row r="110" s="44" customFormat="1" x14ac:dyDescent="0.3"/>
    <row r="111" s="44" customFormat="1" x14ac:dyDescent="0.3"/>
    <row r="112" s="44" customFormat="1" x14ac:dyDescent="0.3"/>
    <row r="113" s="44" customFormat="1" x14ac:dyDescent="0.3"/>
    <row r="114" s="44" customFormat="1" x14ac:dyDescent="0.3"/>
    <row r="115" s="44" customFormat="1" x14ac:dyDescent="0.3"/>
    <row r="116" s="44" customFormat="1" x14ac:dyDescent="0.3"/>
    <row r="117" s="44" customFormat="1" x14ac:dyDescent="0.3"/>
    <row r="118" s="44" customFormat="1" x14ac:dyDescent="0.3"/>
    <row r="119" s="44" customFormat="1" x14ac:dyDescent="0.3"/>
    <row r="120" s="44" customFormat="1" x14ac:dyDescent="0.3"/>
  </sheetData>
  <mergeCells count="3">
    <mergeCell ref="C3:F3"/>
    <mergeCell ref="J3:M3"/>
    <mergeCell ref="Q3:S3"/>
  </mergeCells>
  <pageMargins left="0.25" right="0.25"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AA676-DBF9-4B52-B47B-367B98B98C66}">
  <sheetPr>
    <tabColor rgb="FF0079FF"/>
    <pageSetUpPr fitToPage="1"/>
  </sheetPr>
  <dimension ref="A1:T20"/>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A3" sqref="A3:T20"/>
    </sheetView>
  </sheetViews>
  <sheetFormatPr defaultColWidth="9.1328125" defaultRowHeight="10.15" outlineLevelCol="1" x14ac:dyDescent="0.3"/>
  <cols>
    <col min="1" max="1" width="88.59765625" style="68" customWidth="1"/>
    <col min="2" max="5" width="28.59765625" style="68" hidden="1" customWidth="1" outlineLevel="1"/>
    <col min="6" max="6" width="2.265625" style="154" hidden="1" customWidth="1" outlineLevel="1"/>
    <col min="7" max="7" width="28.59765625" style="68" customWidth="1" collapsed="1"/>
    <col min="8" max="8" width="1.73046875" style="68" customWidth="1"/>
    <col min="9" max="12" width="26.86328125" style="68" hidden="1" customWidth="1" outlineLevel="1"/>
    <col min="13" max="13" width="2" style="154" hidden="1" customWidth="1" outlineLevel="1"/>
    <col min="14" max="14" width="26.86328125" style="68" customWidth="1" collapsed="1"/>
    <col min="15" max="15" width="1.73046875" style="68" customWidth="1"/>
    <col min="16" max="18" width="26.86328125" style="68" customWidth="1"/>
    <col min="19" max="19" width="1.73046875" style="44" customWidth="1"/>
    <col min="20" max="20" width="22.73046875" style="68" customWidth="1"/>
    <col min="21" max="16384" width="9.1328125" style="44"/>
  </cols>
  <sheetData>
    <row r="1" spans="1:20" ht="17.649999999999999" x14ac:dyDescent="0.5">
      <c r="A1" s="5" t="s">
        <v>3</v>
      </c>
    </row>
    <row r="2" spans="1:20" x14ac:dyDescent="0.3">
      <c r="A2" s="69"/>
    </row>
    <row r="3" spans="1:20" s="7" customFormat="1" ht="30" customHeight="1" x14ac:dyDescent="0.4">
      <c r="A3" s="48"/>
      <c r="B3" s="319" t="s">
        <v>10</v>
      </c>
      <c r="C3" s="319"/>
      <c r="D3" s="319"/>
      <c r="E3" s="319"/>
      <c r="F3" s="147"/>
      <c r="G3" s="47" t="s">
        <v>247</v>
      </c>
      <c r="H3" s="70"/>
      <c r="I3" s="319" t="s">
        <v>10</v>
      </c>
      <c r="J3" s="319"/>
      <c r="K3" s="319"/>
      <c r="L3" s="319"/>
      <c r="M3" s="147"/>
      <c r="N3" s="47" t="s">
        <v>247</v>
      </c>
      <c r="O3" s="70"/>
      <c r="P3" s="319" t="s">
        <v>10</v>
      </c>
      <c r="Q3" s="319"/>
      <c r="R3" s="319"/>
      <c r="T3" s="47" t="s">
        <v>289</v>
      </c>
    </row>
    <row r="4" spans="1:20" s="7" customFormat="1" ht="30" customHeight="1" x14ac:dyDescent="0.4">
      <c r="A4" s="48" t="s">
        <v>13</v>
      </c>
      <c r="B4" s="49" t="s">
        <v>43</v>
      </c>
      <c r="C4" s="49" t="s">
        <v>229</v>
      </c>
      <c r="D4" s="49" t="s">
        <v>241</v>
      </c>
      <c r="E4" s="49" t="s">
        <v>44</v>
      </c>
      <c r="F4" s="148"/>
      <c r="G4" s="49" t="s">
        <v>44</v>
      </c>
      <c r="H4" s="70"/>
      <c r="I4" s="49" t="s">
        <v>103</v>
      </c>
      <c r="J4" s="49" t="s">
        <v>230</v>
      </c>
      <c r="K4" s="49" t="s">
        <v>242</v>
      </c>
      <c r="L4" s="49" t="s">
        <v>246</v>
      </c>
      <c r="M4" s="148"/>
      <c r="N4" s="49" t="s">
        <v>246</v>
      </c>
      <c r="O4" s="70"/>
      <c r="P4" s="49" t="s">
        <v>267</v>
      </c>
      <c r="Q4" s="49" t="s">
        <v>277</v>
      </c>
      <c r="R4" s="49" t="s">
        <v>288</v>
      </c>
      <c r="T4" s="49" t="s">
        <v>288</v>
      </c>
    </row>
    <row r="5" spans="1:20" x14ac:dyDescent="0.3">
      <c r="A5" s="44"/>
    </row>
    <row r="6" spans="1:20" ht="16.899999999999999" x14ac:dyDescent="0.5">
      <c r="A6" s="71" t="s">
        <v>14</v>
      </c>
    </row>
    <row r="7" spans="1:20" s="58" customFormat="1" ht="16.5" x14ac:dyDescent="0.45">
      <c r="A7" s="58" t="s">
        <v>57</v>
      </c>
      <c r="B7" s="72">
        <f>207.095</f>
        <v>207.095</v>
      </c>
      <c r="C7" s="72">
        <v>211.43600000000001</v>
      </c>
      <c r="D7" s="72">
        <v>217.93600000000001</v>
      </c>
      <c r="E7" s="72">
        <v>210.05799999999999</v>
      </c>
      <c r="F7" s="155"/>
      <c r="G7" s="72">
        <f>+B7+C7+D7+E7</f>
        <v>846.52499999999998</v>
      </c>
      <c r="H7" s="73"/>
      <c r="I7" s="72">
        <f>'Revenue Metrics'!C12</f>
        <v>185.86500000000001</v>
      </c>
      <c r="J7" s="72">
        <f>'Revenue Metrics'!D12</f>
        <v>204.07999999999998</v>
      </c>
      <c r="K7" s="72">
        <f>'Revenue Metrics'!E12</f>
        <v>215.22200000000001</v>
      </c>
      <c r="L7" s="72">
        <f>'Revenue Metrics'!F12</f>
        <v>225.07999999999998</v>
      </c>
      <c r="M7" s="155"/>
      <c r="N7" s="72">
        <f>+I7+J7+K7+L7</f>
        <v>830.24700000000007</v>
      </c>
      <c r="O7" s="73"/>
      <c r="P7" s="72">
        <f>'Revenue Metrics'!J12</f>
        <v>200.904</v>
      </c>
      <c r="Q7" s="72">
        <f>'Revenue Metrics'!K12</f>
        <v>214.61699999999999</v>
      </c>
      <c r="R7" s="72">
        <f>'Revenue Metrics'!L12</f>
        <v>224.82</v>
      </c>
      <c r="T7" s="72">
        <f>P7+Q7+R7</f>
        <v>640.34099999999989</v>
      </c>
    </row>
    <row r="8" spans="1:20" s="58" customFormat="1" ht="16.5" x14ac:dyDescent="0.45">
      <c r="A8" s="58" t="s">
        <v>58</v>
      </c>
      <c r="B8" s="72">
        <f>+'Revenue Metrics'!C12</f>
        <v>185.86500000000001</v>
      </c>
      <c r="C8" s="72">
        <f>+'Revenue Metrics'!D12</f>
        <v>204.07999999999998</v>
      </c>
      <c r="D8" s="72">
        <f>+'Revenue Metrics'!E12</f>
        <v>215.22200000000001</v>
      </c>
      <c r="E8" s="72">
        <f>+'Revenue Metrics'!F12</f>
        <v>225.07999999999998</v>
      </c>
      <c r="F8" s="155"/>
      <c r="G8" s="72">
        <f>+B8+C8+D8+E8</f>
        <v>830.24700000000007</v>
      </c>
      <c r="H8" s="73"/>
      <c r="I8" s="72">
        <f>+'Revenue Metrics'!J12</f>
        <v>200.904</v>
      </c>
      <c r="J8" s="72">
        <f>+'Revenue Metrics'!K12</f>
        <v>214.61699999999999</v>
      </c>
      <c r="K8" s="72">
        <f>+'Revenue Metrics'!L12</f>
        <v>224.82</v>
      </c>
      <c r="L8" s="72">
        <f>+'Revenue Metrics'!M12</f>
        <v>234.16800000000001</v>
      </c>
      <c r="M8" s="155"/>
      <c r="N8" s="72">
        <f>+I8+J8+K8+L8</f>
        <v>874.5089999999999</v>
      </c>
      <c r="O8" s="73"/>
      <c r="P8" s="72">
        <f>+'Revenue Metrics'!Q12</f>
        <v>217.90600000000001</v>
      </c>
      <c r="Q8" s="72">
        <f>+'Revenue Metrics'!R12</f>
        <v>222.899</v>
      </c>
      <c r="R8" s="72">
        <f>+'Revenue Metrics'!S12</f>
        <v>225.19300000000001</v>
      </c>
      <c r="T8" s="72">
        <f>P8+Q8+R8</f>
        <v>665.99800000000005</v>
      </c>
    </row>
    <row r="9" spans="1:20" s="58" customFormat="1" ht="16.5" x14ac:dyDescent="0.45">
      <c r="A9" s="58" t="s">
        <v>284</v>
      </c>
      <c r="B9" s="72">
        <v>188</v>
      </c>
      <c r="C9" s="72">
        <v>205</v>
      </c>
      <c r="D9" s="72">
        <v>213</v>
      </c>
      <c r="E9" s="72">
        <v>223</v>
      </c>
      <c r="F9" s="155"/>
      <c r="G9" s="72">
        <f>+B9+C9+D9+E9</f>
        <v>829</v>
      </c>
      <c r="H9" s="73"/>
      <c r="I9" s="72">
        <v>196</v>
      </c>
      <c r="J9" s="72">
        <v>210</v>
      </c>
      <c r="K9" s="72">
        <v>223</v>
      </c>
      <c r="L9" s="72">
        <v>235</v>
      </c>
      <c r="M9" s="155"/>
      <c r="N9" s="72">
        <v>865</v>
      </c>
      <c r="O9" s="73"/>
      <c r="P9" s="72">
        <v>220</v>
      </c>
      <c r="Q9" s="72">
        <v>229</v>
      </c>
      <c r="R9" s="72">
        <v>232</v>
      </c>
      <c r="T9" s="72">
        <f>P9+Q9+R9</f>
        <v>681</v>
      </c>
    </row>
    <row r="10" spans="1:20" s="58" customFormat="1" ht="16.5" x14ac:dyDescent="0.45">
      <c r="A10" s="58" t="s">
        <v>59</v>
      </c>
      <c r="B10" s="74">
        <f>+((B8-B7)/B7)</f>
        <v>-0.10251333928873217</v>
      </c>
      <c r="C10" s="74">
        <f>+((C8-C7)/C7)</f>
        <v>-3.4790669517017078E-2</v>
      </c>
      <c r="D10" s="74">
        <f>+((D8-D7)/D7)</f>
        <v>-1.245319726892298E-2</v>
      </c>
      <c r="E10" s="74">
        <f>+((E8-E7)/E7)</f>
        <v>7.1513581963076819E-2</v>
      </c>
      <c r="F10" s="156"/>
      <c r="G10" s="74">
        <f>+((G8-G7)/G7)</f>
        <v>-1.922920173651092E-2</v>
      </c>
      <c r="H10" s="73"/>
      <c r="I10" s="74">
        <f>+(I8-I7)/I7</f>
        <v>8.0913566298119535E-2</v>
      </c>
      <c r="J10" s="74">
        <f>+(J8-J7)/J7</f>
        <v>5.1631713053704467E-2</v>
      </c>
      <c r="K10" s="74">
        <f>+(K8-K7)/K7</f>
        <v>4.4595812695728057E-2</v>
      </c>
      <c r="L10" s="74">
        <f>+(L8-L7)/L7</f>
        <v>4.0376754931579988E-2</v>
      </c>
      <c r="M10" s="156"/>
      <c r="N10" s="74">
        <f>+((N8-N7)/N7)</f>
        <v>5.3311845751926629E-2</v>
      </c>
      <c r="O10" s="73"/>
      <c r="P10" s="74">
        <f>+(P8-P7)/P7</f>
        <v>8.4627483773344531E-2</v>
      </c>
      <c r="Q10" s="74">
        <f>+(Q8-Q7)/Q7</f>
        <v>3.8589673697796589E-2</v>
      </c>
      <c r="R10" s="74">
        <f>+(R8-R7)/R7</f>
        <v>1.6591050618273236E-3</v>
      </c>
      <c r="T10" s="74">
        <f>+(T8-T7)/T7</f>
        <v>4.0067713921176619E-2</v>
      </c>
    </row>
    <row r="11" spans="1:20" s="58" customFormat="1" ht="16.5" x14ac:dyDescent="0.45">
      <c r="A11" s="58" t="s">
        <v>60</v>
      </c>
      <c r="B11" s="75">
        <f>(+B12-B10)+0.001</f>
        <v>1.1309278350515414E-2</v>
      </c>
      <c r="C11" s="75">
        <f>(+C12-C10)+0.001</f>
        <v>5.3511984714051343E-3</v>
      </c>
      <c r="D11" s="75">
        <f>(+D12-D10)-0.001</f>
        <v>-1.1195653769914143E-2</v>
      </c>
      <c r="E11" s="75">
        <f>(+E12-E10)</f>
        <v>-9.9020270591930956E-3</v>
      </c>
      <c r="F11" s="156"/>
      <c r="G11" s="75">
        <f>(+G12-G10)-0.001</f>
        <v>-2.4730811257790029E-3</v>
      </c>
      <c r="H11" s="73"/>
      <c r="I11" s="75">
        <f>+I12-I10</f>
        <v>-2.638474161353669E-2</v>
      </c>
      <c r="J11" s="75">
        <f>+J12-J10</f>
        <v>-2.262348098784786E-2</v>
      </c>
      <c r="K11" s="75">
        <f>+K12-K10-0.001</f>
        <v>-9.4563845703505844E-3</v>
      </c>
      <c r="L11" s="75">
        <f>+L12-L10</f>
        <v>3.6964634796516488E-3</v>
      </c>
      <c r="M11" s="156"/>
      <c r="N11" s="75">
        <f>(+N12-N10)+0.001</f>
        <v>-1.0453218138698366E-2</v>
      </c>
      <c r="O11" s="73"/>
      <c r="P11" s="75">
        <f>+P12-P10</f>
        <v>1.042288854378208E-2</v>
      </c>
      <c r="Q11" s="75">
        <f>+Q12-Q10</f>
        <v>2.8427384596746763E-2</v>
      </c>
      <c r="R11" s="75">
        <f>+R12-R10</f>
        <v>3.0277555377635393E-2</v>
      </c>
      <c r="T11" s="75">
        <f>+T12-T10</f>
        <v>2.3428142192987729E-2</v>
      </c>
    </row>
    <row r="12" spans="1:20" s="58" customFormat="1" ht="16.899999999999999" x14ac:dyDescent="0.5">
      <c r="A12" s="58" t="s">
        <v>61</v>
      </c>
      <c r="B12" s="76">
        <f>+(B9-B7)/B7</f>
        <v>-9.2204060938216759E-2</v>
      </c>
      <c r="C12" s="76">
        <f>+(C9-C7)/C7</f>
        <v>-3.0439471045611944E-2</v>
      </c>
      <c r="D12" s="76">
        <f>+(D9-D7)/D7</f>
        <v>-2.2648851038837122E-2</v>
      </c>
      <c r="E12" s="76">
        <f>+(E9-E7)/E7</f>
        <v>6.1611554903883724E-2</v>
      </c>
      <c r="F12" s="157"/>
      <c r="G12" s="76">
        <f>+(G9-G7)/G7</f>
        <v>-2.0702282862289922E-2</v>
      </c>
      <c r="H12" s="73"/>
      <c r="I12" s="76">
        <f>+(I9-I7)/I7</f>
        <v>5.4528824684582845E-2</v>
      </c>
      <c r="J12" s="76">
        <f>+(J9-J7)/J7</f>
        <v>2.9008232065856607E-2</v>
      </c>
      <c r="K12" s="76">
        <f>+(K9-K7)/K7</f>
        <v>3.6139428125377474E-2</v>
      </c>
      <c r="L12" s="76">
        <f>+(L9-L7)/L7</f>
        <v>4.4073218411231636E-2</v>
      </c>
      <c r="M12" s="157"/>
      <c r="N12" s="76">
        <f>+(N9-N7)/N7</f>
        <v>4.1858627613228262E-2</v>
      </c>
      <c r="O12" s="73"/>
      <c r="P12" s="76">
        <f>+(P9-P7)/P7</f>
        <v>9.5050372317126611E-2</v>
      </c>
      <c r="Q12" s="76">
        <f>+(Q9-Q7)/Q7</f>
        <v>6.7017058294543352E-2</v>
      </c>
      <c r="R12" s="76">
        <f>+(R9-R7)/R7</f>
        <v>3.1936660439462715E-2</v>
      </c>
      <c r="T12" s="76">
        <f>+(T9-T7)/T7</f>
        <v>6.3495856114164348E-2</v>
      </c>
    </row>
    <row r="13" spans="1:20" x14ac:dyDescent="0.3">
      <c r="A13" s="44"/>
    </row>
    <row r="14" spans="1:20" ht="16.899999999999999" x14ac:dyDescent="0.5">
      <c r="A14" s="71" t="s">
        <v>62</v>
      </c>
    </row>
    <row r="15" spans="1:20" s="58" customFormat="1" ht="16.5" x14ac:dyDescent="0.45">
      <c r="A15" s="58" t="s">
        <v>57</v>
      </c>
      <c r="B15" s="72">
        <f>215.867</f>
        <v>215.86699999999999</v>
      </c>
      <c r="C15" s="72">
        <v>218.42400000000001</v>
      </c>
      <c r="D15" s="72">
        <v>224.149</v>
      </c>
      <c r="E15" s="72">
        <v>214.76</v>
      </c>
      <c r="F15" s="155"/>
      <c r="G15" s="72">
        <f>+B15+C15+D15+E15</f>
        <v>873.2</v>
      </c>
      <c r="H15" s="73"/>
      <c r="I15" s="72">
        <f>'Revenue Metrics'!C28</f>
        <v>189.12700000000001</v>
      </c>
      <c r="J15" s="72">
        <f>'Revenue Metrics'!D28</f>
        <v>207.14600000000002</v>
      </c>
      <c r="K15" s="72">
        <f>'Revenue Metrics'!E28</f>
        <v>217.44899999999998</v>
      </c>
      <c r="L15" s="72">
        <f>'Revenue Metrics'!F28</f>
        <v>226.86099999999999</v>
      </c>
      <c r="M15" s="155"/>
      <c r="N15" s="72">
        <f>+I15+J15+K15+L15</f>
        <v>840.58299999999997</v>
      </c>
      <c r="O15" s="73"/>
      <c r="P15" s="72">
        <f>'Revenue Metrics'!J28</f>
        <v>201.94300000000001</v>
      </c>
      <c r="Q15" s="72">
        <f>'Revenue Metrics'!K28</f>
        <v>215.63</v>
      </c>
      <c r="R15" s="72">
        <f>'Revenue Metrics'!L28</f>
        <v>226.928</v>
      </c>
      <c r="T15" s="72">
        <f>P15+Q15+R15</f>
        <v>644.50099999999998</v>
      </c>
    </row>
    <row r="16" spans="1:20" s="58" customFormat="1" ht="16.5" x14ac:dyDescent="0.45">
      <c r="A16" s="58" t="s">
        <v>58</v>
      </c>
      <c r="B16" s="72">
        <f>+'Revenue Metrics'!C28</f>
        <v>189.12700000000001</v>
      </c>
      <c r="C16" s="72">
        <f>+'Revenue Metrics'!D28</f>
        <v>207.14600000000002</v>
      </c>
      <c r="D16" s="72">
        <f>+'Revenue Metrics'!E28</f>
        <v>217.44899999999998</v>
      </c>
      <c r="E16" s="72">
        <f>+'Revenue Metrics'!F28</f>
        <v>226.86099999999999</v>
      </c>
      <c r="F16" s="155"/>
      <c r="G16" s="72">
        <f>+B16+C16+D16+E16</f>
        <v>840.58299999999997</v>
      </c>
      <c r="H16" s="73"/>
      <c r="I16" s="72">
        <f>+'Revenue Metrics'!J28</f>
        <v>201.94300000000001</v>
      </c>
      <c r="J16" s="72">
        <f>+'Revenue Metrics'!K28</f>
        <v>215.63</v>
      </c>
      <c r="K16" s="72">
        <f>+'Revenue Metrics'!L28</f>
        <v>226.928</v>
      </c>
      <c r="L16" s="72">
        <f>+'Revenue Metrics'!M28</f>
        <v>236.179</v>
      </c>
      <c r="M16" s="155"/>
      <c r="N16" s="72">
        <f>+I16+J16+K16+L16</f>
        <v>880.68</v>
      </c>
      <c r="O16" s="73"/>
      <c r="P16" s="72">
        <f>+'Revenue Metrics'!Q28</f>
        <v>219.24899999999997</v>
      </c>
      <c r="Q16" s="72">
        <f>+'Revenue Metrics'!R28</f>
        <v>223.631</v>
      </c>
      <c r="R16" s="72">
        <f>+'Revenue Metrics'!S28</f>
        <v>225.61600000000001</v>
      </c>
      <c r="T16" s="72">
        <f>P16+Q16+R16</f>
        <v>668.49599999999998</v>
      </c>
    </row>
    <row r="17" spans="1:20" s="58" customFormat="1" ht="16.5" x14ac:dyDescent="0.45">
      <c r="A17" s="58" t="s">
        <v>284</v>
      </c>
      <c r="B17" s="72">
        <v>191</v>
      </c>
      <c r="C17" s="72">
        <v>208</v>
      </c>
      <c r="D17" s="72">
        <v>215</v>
      </c>
      <c r="E17" s="72">
        <v>224</v>
      </c>
      <c r="F17" s="155"/>
      <c r="G17" s="72">
        <f>+B17+C17+D17+E17+1</f>
        <v>839</v>
      </c>
      <c r="H17" s="73"/>
      <c r="I17" s="72">
        <v>197</v>
      </c>
      <c r="J17" s="72">
        <v>211</v>
      </c>
      <c r="K17" s="72">
        <v>225</v>
      </c>
      <c r="L17" s="72">
        <v>237</v>
      </c>
      <c r="M17" s="155"/>
      <c r="N17" s="72">
        <v>871</v>
      </c>
      <c r="O17" s="73"/>
      <c r="P17" s="72">
        <v>222</v>
      </c>
      <c r="Q17" s="72">
        <v>229</v>
      </c>
      <c r="R17" s="72">
        <v>232</v>
      </c>
      <c r="T17" s="72">
        <f>P17+Q17+R17</f>
        <v>683</v>
      </c>
    </row>
    <row r="18" spans="1:20" s="58" customFormat="1" ht="16.5" x14ac:dyDescent="0.45">
      <c r="A18" s="58" t="s">
        <v>59</v>
      </c>
      <c r="B18" s="74">
        <f>+((B16-B15)/B15)</f>
        <v>-0.12387256968411096</v>
      </c>
      <c r="C18" s="74">
        <f>+((C16-C15)/C15)</f>
        <v>-5.163352012599344E-2</v>
      </c>
      <c r="D18" s="74">
        <f>+((D16-D15)/D15)</f>
        <v>-2.9890831545088387E-2</v>
      </c>
      <c r="E18" s="74">
        <f>+((E16-E15)/E15)</f>
        <v>5.6346619482212701E-2</v>
      </c>
      <c r="F18" s="156"/>
      <c r="G18" s="74">
        <f>+((G16-G15)/G15)</f>
        <v>-3.7353412734768748E-2</v>
      </c>
      <c r="H18" s="73"/>
      <c r="I18" s="74">
        <f>+(I16-I15)/I15</f>
        <v>6.7763989277046646E-2</v>
      </c>
      <c r="J18" s="74">
        <f>+(J16-J15)/J15</f>
        <v>4.0956619968524517E-2</v>
      </c>
      <c r="K18" s="74">
        <f>+(K16-K15)/K15</f>
        <v>4.3591830728124822E-2</v>
      </c>
      <c r="L18" s="74">
        <f>+(L16-L15)/L15</f>
        <v>4.1073608949973826E-2</v>
      </c>
      <c r="M18" s="156"/>
      <c r="N18" s="74">
        <f>+((N16-N15)/N15)</f>
        <v>4.770141675479992E-2</v>
      </c>
      <c r="O18" s="73"/>
      <c r="P18" s="74">
        <f>+(P16-P15)/P15</f>
        <v>8.5697449280242213E-2</v>
      </c>
      <c r="Q18" s="74">
        <f>+(Q16-Q15)/Q15</f>
        <v>3.710522654547143E-2</v>
      </c>
      <c r="R18" s="74">
        <f>+(R16-R15)/R15</f>
        <v>-5.7815694845941594E-3</v>
      </c>
      <c r="T18" s="74">
        <f>+(T16-T15)/T15</f>
        <v>3.7230353405192554E-2</v>
      </c>
    </row>
    <row r="19" spans="1:20" s="58" customFormat="1" ht="16.5" x14ac:dyDescent="0.45">
      <c r="A19" s="58" t="s">
        <v>60</v>
      </c>
      <c r="B19" s="75">
        <f>+B20-B18</f>
        <v>8.6766388563327829E-3</v>
      </c>
      <c r="C19" s="75">
        <f>+C20-C18</f>
        <v>3.9098267589641467E-3</v>
      </c>
      <c r="D19" s="75">
        <f>+D20-D18</f>
        <v>-1.0925768127450868E-2</v>
      </c>
      <c r="E19" s="75">
        <f>+E20-E18</f>
        <v>-1.3321847643881495E-2</v>
      </c>
      <c r="F19" s="156"/>
      <c r="G19" s="75">
        <f>+G20-G18</f>
        <v>-1.812872194228092E-3</v>
      </c>
      <c r="H19" s="73"/>
      <c r="I19" s="75">
        <f>+I20-I18</f>
        <v>-2.6135876950409045E-2</v>
      </c>
      <c r="J19" s="75">
        <f>+J20-J18</f>
        <v>-2.2351385013468738E-2</v>
      </c>
      <c r="K19" s="75">
        <f>+K20-K18</f>
        <v>-8.866446845007328E-3</v>
      </c>
      <c r="L19" s="75">
        <f>+L20-L18</f>
        <v>3.6189561008723309E-3</v>
      </c>
      <c r="M19" s="156"/>
      <c r="N19" s="75">
        <f>+N20-N18</f>
        <v>-1.1515816998440308E-2</v>
      </c>
      <c r="O19" s="73"/>
      <c r="P19" s="75">
        <f>+P20-P18-0.001</f>
        <v>1.2622655897951571E-2</v>
      </c>
      <c r="Q19" s="75">
        <f>+Q20-Q18</f>
        <v>2.4899132773732784E-2</v>
      </c>
      <c r="R19" s="75">
        <f>+R20-R18</f>
        <v>2.8132271028696268E-2</v>
      </c>
      <c r="T19" s="75">
        <f>+T20-T18</f>
        <v>2.2504231956195594E-2</v>
      </c>
    </row>
    <row r="20" spans="1:20" s="58" customFormat="1" ht="16.899999999999999" x14ac:dyDescent="0.5">
      <c r="A20" s="58" t="s">
        <v>61</v>
      </c>
      <c r="B20" s="76">
        <f>+(B17-B15)/B15</f>
        <v>-0.11519593082777818</v>
      </c>
      <c r="C20" s="76">
        <f>+(C17-C15)/C15</f>
        <v>-4.7723693367029293E-2</v>
      </c>
      <c r="D20" s="76">
        <f>+(D17-D15)/D15</f>
        <v>-4.0816599672539255E-2</v>
      </c>
      <c r="E20" s="76">
        <f>+(E17-E15)/E15</f>
        <v>4.3024771838331206E-2</v>
      </c>
      <c r="F20" s="157"/>
      <c r="G20" s="76">
        <f>+(G17-G15)/G15</f>
        <v>-3.916628492899684E-2</v>
      </c>
      <c r="H20" s="73"/>
      <c r="I20" s="76">
        <f>+(I17-I15)/I15</f>
        <v>4.1628112326637601E-2</v>
      </c>
      <c r="J20" s="76">
        <f>+(J17-J15)/J15</f>
        <v>1.8605234955055779E-2</v>
      </c>
      <c r="K20" s="76">
        <f>+(K17-K15)/K15</f>
        <v>3.4725383883117494E-2</v>
      </c>
      <c r="L20" s="76">
        <f>+(L17-L15)/L15</f>
        <v>4.4692565050846157E-2</v>
      </c>
      <c r="M20" s="157"/>
      <c r="N20" s="76">
        <f>+(N17-N15)/N15</f>
        <v>3.6185599756359613E-2</v>
      </c>
      <c r="O20" s="73"/>
      <c r="P20" s="76">
        <f>+(P17-P15)/P15</f>
        <v>9.9320105178193785E-2</v>
      </c>
      <c r="Q20" s="76">
        <f>+(Q17-Q15)/Q15</f>
        <v>6.2004359319204214E-2</v>
      </c>
      <c r="R20" s="76">
        <f>+(R17-R15)/R15</f>
        <v>2.2350701544102108E-2</v>
      </c>
      <c r="T20" s="76">
        <f>+(T17-T15)/T15</f>
        <v>5.9734585361388148E-2</v>
      </c>
    </row>
  </sheetData>
  <mergeCells count="3">
    <mergeCell ref="B3:E3"/>
    <mergeCell ref="I3:L3"/>
    <mergeCell ref="P3:R3"/>
  </mergeCells>
  <pageMargins left="0.25" right="0.25" top="0.75" bottom="0.75" header="0.3" footer="0.3"/>
  <pageSetup scale="4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8980-8820-40D8-895C-D4B8EBF24240}">
  <sheetPr>
    <tabColor rgb="FF0079FF"/>
    <pageSetUpPr fitToPage="1"/>
  </sheetPr>
  <dimension ref="A1:T117"/>
  <sheetViews>
    <sheetView zoomScale="65" zoomScaleNormal="65" zoomScaleSheetLayoutView="85" workbookViewId="0">
      <pane xSplit="1" ySplit="4" topLeftCell="B5" activePane="bottomRight" state="frozen"/>
      <selection activeCell="C39" sqref="C39"/>
      <selection pane="topRight" activeCell="C39" sqref="C39"/>
      <selection pane="bottomLeft" activeCell="C39" sqref="C39"/>
      <selection pane="bottomRight" activeCell="N53" sqref="N53"/>
    </sheetView>
  </sheetViews>
  <sheetFormatPr defaultColWidth="9.1328125" defaultRowHeight="10.15" outlineLevelCol="1" x14ac:dyDescent="0.3"/>
  <cols>
    <col min="1" max="1" width="70" style="67" bestFit="1" customWidth="1"/>
    <col min="2" max="5" width="28" style="44" customWidth="1" outlineLevel="1"/>
    <col min="6" max="6" width="1.59765625" style="44" customWidth="1"/>
    <col min="7" max="7" width="28" style="44" customWidth="1"/>
    <col min="8" max="8" width="1.59765625" style="44" customWidth="1"/>
    <col min="9" max="12" width="28" style="44" customWidth="1" outlineLevel="1"/>
    <col min="13" max="13" width="1.59765625" style="44" customWidth="1" outlineLevel="1"/>
    <col min="14" max="14" width="28" style="44" customWidth="1"/>
    <col min="15" max="15" width="1.86328125" style="44" customWidth="1"/>
    <col min="16" max="18" width="21.73046875" style="44" customWidth="1"/>
    <col min="19" max="19" width="1.86328125" style="44" customWidth="1"/>
    <col min="20" max="20" width="20.73046875" style="44" customWidth="1"/>
    <col min="21" max="16384" width="9.1328125" style="44"/>
  </cols>
  <sheetData>
    <row r="1" spans="1:20" s="7" customFormat="1" ht="17.649999999999999" x14ac:dyDescent="0.5">
      <c r="A1" s="5" t="s">
        <v>4</v>
      </c>
    </row>
    <row r="2" spans="1:20" x14ac:dyDescent="0.3">
      <c r="A2" s="45"/>
    </row>
    <row r="3" spans="1:20" s="7" customFormat="1" ht="30" customHeight="1" x14ac:dyDescent="0.4">
      <c r="A3" s="46"/>
      <c r="B3" s="319" t="s">
        <v>10</v>
      </c>
      <c r="C3" s="319"/>
      <c r="D3" s="319"/>
      <c r="E3" s="319"/>
      <c r="F3" s="147"/>
      <c r="G3" s="47" t="s">
        <v>247</v>
      </c>
      <c r="H3" s="147"/>
      <c r="I3" s="319" t="s">
        <v>10</v>
      </c>
      <c r="J3" s="319"/>
      <c r="K3" s="319"/>
      <c r="L3" s="319"/>
      <c r="M3" s="147"/>
      <c r="N3" s="47" t="s">
        <v>247</v>
      </c>
      <c r="P3" s="319" t="s">
        <v>10</v>
      </c>
      <c r="Q3" s="319"/>
      <c r="R3" s="319"/>
      <c r="T3" s="47" t="s">
        <v>289</v>
      </c>
    </row>
    <row r="4" spans="1:20" s="7" customFormat="1" ht="30" customHeight="1" x14ac:dyDescent="0.4">
      <c r="A4" s="48" t="s">
        <v>13</v>
      </c>
      <c r="B4" s="49" t="s">
        <v>43</v>
      </c>
      <c r="C4" s="49" t="s">
        <v>229</v>
      </c>
      <c r="D4" s="49" t="s">
        <v>241</v>
      </c>
      <c r="E4" s="49" t="s">
        <v>44</v>
      </c>
      <c r="F4" s="148"/>
      <c r="G4" s="49" t="s">
        <v>44</v>
      </c>
      <c r="H4" s="148"/>
      <c r="I4" s="49" t="s">
        <v>103</v>
      </c>
      <c r="J4" s="49" t="s">
        <v>230</v>
      </c>
      <c r="K4" s="49" t="s">
        <v>242</v>
      </c>
      <c r="L4" s="49" t="s">
        <v>246</v>
      </c>
      <c r="M4" s="148"/>
      <c r="N4" s="49" t="s">
        <v>246</v>
      </c>
      <c r="P4" s="49" t="s">
        <v>267</v>
      </c>
      <c r="Q4" s="49" t="s">
        <v>277</v>
      </c>
      <c r="R4" s="49" t="s">
        <v>288</v>
      </c>
      <c r="T4" s="49" t="s">
        <v>288</v>
      </c>
    </row>
    <row r="5" spans="1:20" s="58" customFormat="1" ht="16.899999999999999" x14ac:dyDescent="0.5">
      <c r="A5" s="77"/>
    </row>
    <row r="6" spans="1:20" s="53" customFormat="1" ht="16.899999999999999" x14ac:dyDescent="0.5">
      <c r="A6" s="55" t="s">
        <v>63</v>
      </c>
      <c r="B6" s="78">
        <f>+B7+B8</f>
        <v>40.887999999999998</v>
      </c>
      <c r="C6" s="78">
        <f>+C7+C8</f>
        <v>48.228999999999999</v>
      </c>
      <c r="D6" s="78">
        <f>+D7+D8</f>
        <v>58.983000000000004</v>
      </c>
      <c r="E6" s="78">
        <f>+E7+E8</f>
        <v>69.852000000000004</v>
      </c>
      <c r="F6" s="158"/>
      <c r="G6" s="78">
        <f>+B6+C6+D6+E6</f>
        <v>217.952</v>
      </c>
      <c r="H6" s="158"/>
      <c r="I6" s="78">
        <f>+I7+I8</f>
        <v>63.591999999999999</v>
      </c>
      <c r="J6" s="78">
        <f>+J7+J8</f>
        <v>76.384</v>
      </c>
      <c r="K6" s="78">
        <f>+K7+K8</f>
        <v>82.103000000000009</v>
      </c>
      <c r="L6" s="78">
        <f>+L7+L8</f>
        <v>100.685</v>
      </c>
      <c r="M6" s="158"/>
      <c r="N6" s="78">
        <f>+I6+J6+K6+L6</f>
        <v>322.76400000000001</v>
      </c>
      <c r="P6" s="78">
        <f>+P7+P8</f>
        <v>94.72999999999999</v>
      </c>
      <c r="Q6" s="78">
        <f>+Q7+Q8</f>
        <v>102.554</v>
      </c>
      <c r="R6" s="78">
        <f>+R7+R8</f>
        <v>115.78700000000001</v>
      </c>
      <c r="T6" s="78">
        <f>+T7+T8</f>
        <v>313.07100000000003</v>
      </c>
    </row>
    <row r="7" spans="1:20" s="53" customFormat="1" ht="16.899999999999999" x14ac:dyDescent="0.5">
      <c r="A7" s="55" t="s">
        <v>64</v>
      </c>
      <c r="B7" s="56">
        <v>33.393000000000001</v>
      </c>
      <c r="C7" s="56">
        <v>35.817999999999998</v>
      </c>
      <c r="D7" s="56">
        <v>37.405999999999999</v>
      </c>
      <c r="E7" s="56">
        <v>39.344999999999999</v>
      </c>
      <c r="F7" s="149"/>
      <c r="G7" s="56">
        <f>+B7+C7+D7+E7</f>
        <v>145.96199999999999</v>
      </c>
      <c r="H7" s="149"/>
      <c r="I7" s="56">
        <v>39.308999999999997</v>
      </c>
      <c r="J7" s="56">
        <v>42.94</v>
      </c>
      <c r="K7" s="56">
        <v>48.39</v>
      </c>
      <c r="L7" s="56">
        <v>52.396000000000001</v>
      </c>
      <c r="M7" s="149"/>
      <c r="N7" s="56">
        <f>+I7+J7+K7+L7</f>
        <v>183.03500000000003</v>
      </c>
      <c r="P7" s="56">
        <v>49.284999999999997</v>
      </c>
      <c r="Q7" s="56">
        <v>54.679000000000002</v>
      </c>
      <c r="R7" s="56">
        <v>57.040999999999997</v>
      </c>
      <c r="T7" s="56">
        <f>SUM(P7:R7)</f>
        <v>161.005</v>
      </c>
    </row>
    <row r="8" spans="1:20" s="53" customFormat="1" ht="16.899999999999999" x14ac:dyDescent="0.5">
      <c r="A8" s="55" t="s">
        <v>239</v>
      </c>
      <c r="B8" s="56">
        <f>7.495</f>
        <v>7.4950000000000001</v>
      </c>
      <c r="C8" s="56">
        <v>12.411</v>
      </c>
      <c r="D8" s="56">
        <v>21.577000000000002</v>
      </c>
      <c r="E8" s="56">
        <v>30.507000000000001</v>
      </c>
      <c r="F8" s="149"/>
      <c r="G8" s="56">
        <f>+B8+C8+D8+E8</f>
        <v>71.990000000000009</v>
      </c>
      <c r="H8" s="149"/>
      <c r="I8" s="56">
        <v>24.283000000000001</v>
      </c>
      <c r="J8" s="56">
        <v>33.444000000000003</v>
      </c>
      <c r="K8" s="56">
        <v>33.713000000000001</v>
      </c>
      <c r="L8" s="56">
        <v>48.289000000000001</v>
      </c>
      <c r="M8" s="149"/>
      <c r="N8" s="56">
        <f>+I8+J8+K8+L8</f>
        <v>139.72899999999998</v>
      </c>
      <c r="P8" s="56">
        <v>45.445</v>
      </c>
      <c r="Q8" s="56">
        <v>47.875</v>
      </c>
      <c r="R8" s="56">
        <v>58.746000000000002</v>
      </c>
      <c r="T8" s="56">
        <f>SUM(P8:R8)</f>
        <v>152.066</v>
      </c>
    </row>
    <row r="9" spans="1:20" s="53" customFormat="1" ht="16.899999999999999" x14ac:dyDescent="0.5">
      <c r="A9" s="55" t="s">
        <v>65</v>
      </c>
      <c r="B9" s="79">
        <v>14.132</v>
      </c>
      <c r="C9" s="79">
        <v>14.327999999999999</v>
      </c>
      <c r="D9" s="79">
        <v>14.884</v>
      </c>
      <c r="E9" s="79">
        <v>16.114999999999998</v>
      </c>
      <c r="F9" s="146"/>
      <c r="G9" s="79">
        <f>+B9+C9+D9+E9</f>
        <v>59.459000000000003</v>
      </c>
      <c r="H9" s="146"/>
      <c r="I9" s="79">
        <v>16.457999999999998</v>
      </c>
      <c r="J9" s="79">
        <v>16.872</v>
      </c>
      <c r="K9" s="79">
        <v>16.358000000000001</v>
      </c>
      <c r="L9" s="79">
        <v>15.96</v>
      </c>
      <c r="M9" s="146"/>
      <c r="N9" s="79">
        <f>+I9+J9+K9+L9</f>
        <v>65.647999999999996</v>
      </c>
      <c r="P9" s="79">
        <v>15.913</v>
      </c>
      <c r="Q9" s="79">
        <v>15.778</v>
      </c>
      <c r="R9" s="79">
        <v>15.436</v>
      </c>
      <c r="T9" s="79">
        <f>SUM(P9:R9)</f>
        <v>47.127000000000002</v>
      </c>
    </row>
    <row r="10" spans="1:20" s="53" customFormat="1" ht="16.899999999999999" x14ac:dyDescent="0.5">
      <c r="A10" s="51" t="s">
        <v>286</v>
      </c>
      <c r="B10" s="62">
        <f>+B6+B9</f>
        <v>55.019999999999996</v>
      </c>
      <c r="C10" s="62">
        <f>+C6+C9</f>
        <v>62.557000000000002</v>
      </c>
      <c r="D10" s="62">
        <f>+D6+D9</f>
        <v>73.867000000000004</v>
      </c>
      <c r="E10" s="62">
        <f>+E6+E9</f>
        <v>85.966999999999999</v>
      </c>
      <c r="F10" s="137"/>
      <c r="G10" s="62">
        <f>+B10+C10+D10+E10</f>
        <v>277.411</v>
      </c>
      <c r="H10" s="137"/>
      <c r="I10" s="62">
        <f>+I6+I9</f>
        <v>80.05</v>
      </c>
      <c r="J10" s="62">
        <f>+J6+J9</f>
        <v>93.256</v>
      </c>
      <c r="K10" s="62">
        <f>+K6+K9</f>
        <v>98.461000000000013</v>
      </c>
      <c r="L10" s="62">
        <f>+L6+L9</f>
        <v>116.64500000000001</v>
      </c>
      <c r="M10" s="137"/>
      <c r="N10" s="62">
        <f>+I10+J10+K10+L10</f>
        <v>388.41200000000003</v>
      </c>
      <c r="P10" s="62">
        <f>+P6+P9</f>
        <v>110.64299999999999</v>
      </c>
      <c r="Q10" s="62">
        <f>+Q6+Q9</f>
        <v>118.33200000000001</v>
      </c>
      <c r="R10" s="62">
        <f>+R6+R9</f>
        <v>131.22300000000001</v>
      </c>
      <c r="T10" s="62">
        <f>+T6+T9</f>
        <v>360.19800000000004</v>
      </c>
    </row>
    <row r="11" spans="1:20" s="53" customFormat="1" ht="16.899999999999999" x14ac:dyDescent="0.5">
      <c r="A11" s="51"/>
      <c r="B11" s="62"/>
      <c r="C11" s="62"/>
      <c r="D11" s="62"/>
      <c r="E11" s="62"/>
      <c r="F11" s="137"/>
      <c r="G11" s="62"/>
      <c r="H11" s="137"/>
      <c r="I11" s="62"/>
      <c r="J11" s="62"/>
      <c r="K11" s="62"/>
      <c r="L11" s="62"/>
      <c r="M11" s="137"/>
      <c r="N11" s="62"/>
      <c r="P11" s="62"/>
      <c r="Q11" s="62"/>
      <c r="R11" s="62"/>
      <c r="T11" s="62"/>
    </row>
    <row r="12" spans="1:20" s="53" customFormat="1" ht="16.899999999999999" x14ac:dyDescent="0.5">
      <c r="A12" s="55" t="s">
        <v>66</v>
      </c>
      <c r="B12" s="56">
        <f t="shared" ref="B12:I15" si="0">+B18-B6</f>
        <v>2.9260000000000019</v>
      </c>
      <c r="C12" s="56">
        <f t="shared" ref="C12:D12" si="1">+C18-C6</f>
        <v>2.75</v>
      </c>
      <c r="D12" s="56">
        <f t="shared" si="1"/>
        <v>1.9439999999999884</v>
      </c>
      <c r="E12" s="56">
        <f t="shared" ref="E12" si="2">+E18-E6</f>
        <v>1.5449999999999875</v>
      </c>
      <c r="F12" s="149"/>
      <c r="G12" s="56">
        <f>+B12+C12+D12+E12</f>
        <v>9.1649999999999778</v>
      </c>
      <c r="H12" s="149"/>
      <c r="I12" s="56">
        <f t="shared" si="0"/>
        <v>0.8440000000000083</v>
      </c>
      <c r="J12" s="56">
        <f t="shared" ref="J12:K12" si="3">+J18-J6</f>
        <v>0.87199999999999989</v>
      </c>
      <c r="K12" s="56">
        <f t="shared" si="3"/>
        <v>1.9849999999999852</v>
      </c>
      <c r="L12" s="56">
        <f t="shared" ref="L12" si="4">+L18-L6</f>
        <v>1.9200000000000017</v>
      </c>
      <c r="M12" s="149"/>
      <c r="N12" s="56">
        <f>+I12+J12+K12+L12</f>
        <v>5.6209999999999951</v>
      </c>
      <c r="P12" s="56">
        <f t="shared" ref="P12:Q12" si="5">+P18-P6</f>
        <v>1.2690000000000055</v>
      </c>
      <c r="Q12" s="56">
        <f t="shared" si="5"/>
        <v>0.68000000000000682</v>
      </c>
      <c r="R12" s="56">
        <f t="shared" ref="R12" si="6">+R18-R6</f>
        <v>0.37399999999999523</v>
      </c>
      <c r="T12" s="56">
        <f>+T18-T6</f>
        <v>2.3229999999999791</v>
      </c>
    </row>
    <row r="13" spans="1:20" s="53" customFormat="1" ht="16.899999999999999" x14ac:dyDescent="0.5">
      <c r="A13" s="55" t="s">
        <v>67</v>
      </c>
      <c r="B13" s="56">
        <f t="shared" si="0"/>
        <v>2.8819999999999979</v>
      </c>
      <c r="C13" s="56">
        <f t="shared" ref="C13:D13" si="7">+C19-C7</f>
        <v>2.7060000000000031</v>
      </c>
      <c r="D13" s="56">
        <f t="shared" si="7"/>
        <v>1.8969999999999985</v>
      </c>
      <c r="E13" s="56">
        <f t="shared" ref="E13" si="8">+E19-E7</f>
        <v>1.5030000000000001</v>
      </c>
      <c r="F13" s="149"/>
      <c r="G13" s="56">
        <f>+B13+C13+D13+E13</f>
        <v>8.9879999999999995</v>
      </c>
      <c r="H13" s="149"/>
      <c r="I13" s="56">
        <f t="shared" si="0"/>
        <v>0.78200000000000358</v>
      </c>
      <c r="J13" s="56">
        <f t="shared" ref="J13:K13" si="9">+J19-J7</f>
        <v>0.87199999999999989</v>
      </c>
      <c r="K13" s="56">
        <f t="shared" si="9"/>
        <v>1.9840000000000018</v>
      </c>
      <c r="L13" s="56">
        <f t="shared" ref="L13" si="10">+L19-L7</f>
        <v>1.9200000000000017</v>
      </c>
      <c r="M13" s="149"/>
      <c r="N13" s="56">
        <f>+I13+J13+K13+L13</f>
        <v>5.5580000000000069</v>
      </c>
      <c r="P13" s="56">
        <f t="shared" ref="P13:Q13" si="11">+P19-P7</f>
        <v>1.2690000000000055</v>
      </c>
      <c r="Q13" s="56">
        <f t="shared" si="11"/>
        <v>0.67999999999999972</v>
      </c>
      <c r="R13" s="56">
        <f t="shared" ref="R13" si="12">+R19-R7</f>
        <v>0.37400000000000233</v>
      </c>
      <c r="T13" s="56">
        <f>+T19-T7</f>
        <v>2.3230000000000075</v>
      </c>
    </row>
    <row r="14" spans="1:20" s="53" customFormat="1" ht="16.899999999999999" x14ac:dyDescent="0.5">
      <c r="A14" s="55" t="s">
        <v>68</v>
      </c>
      <c r="B14" s="56">
        <f t="shared" si="0"/>
        <v>4.3999999999999595E-2</v>
      </c>
      <c r="C14" s="56">
        <f t="shared" ref="C14:D14" si="13">+C20-C8</f>
        <v>4.4000000000000483E-2</v>
      </c>
      <c r="D14" s="56">
        <f t="shared" si="13"/>
        <v>4.6999999999997044E-2</v>
      </c>
      <c r="E14" s="56">
        <f t="shared" ref="E14" si="14">+E20-E8</f>
        <v>4.1999999999998039E-2</v>
      </c>
      <c r="F14" s="149"/>
      <c r="G14" s="56">
        <f>+B14+C14+D14+E14</f>
        <v>0.17699999999999516</v>
      </c>
      <c r="H14" s="149"/>
      <c r="I14" s="56">
        <f t="shared" si="0"/>
        <v>6.1999999999997613E-2</v>
      </c>
      <c r="J14" s="56">
        <f t="shared" ref="J14:K14" si="15">+J20-J8</f>
        <v>0</v>
      </c>
      <c r="K14" s="56">
        <f t="shared" si="15"/>
        <v>9.9999999999766942E-4</v>
      </c>
      <c r="L14" s="56">
        <f t="shared" ref="L14" si="16">+L20-L8</f>
        <v>0</v>
      </c>
      <c r="M14" s="149"/>
      <c r="N14" s="56">
        <f>+I14+J14+K14+L14</f>
        <v>6.2999999999995282E-2</v>
      </c>
      <c r="P14" s="56">
        <f t="shared" ref="P14:Q14" si="17">+P20-P8</f>
        <v>0</v>
      </c>
      <c r="Q14" s="56">
        <f t="shared" si="17"/>
        <v>0</v>
      </c>
      <c r="R14" s="56">
        <f t="shared" ref="R14" si="18">+R20-R8</f>
        <v>0</v>
      </c>
      <c r="T14" s="56">
        <f>+T20-T8</f>
        <v>0</v>
      </c>
    </row>
    <row r="15" spans="1:20" s="53" customFormat="1" ht="16.899999999999999" x14ac:dyDescent="0.5">
      <c r="A15" s="55" t="s">
        <v>69</v>
      </c>
      <c r="B15" s="79">
        <f t="shared" si="0"/>
        <v>0.28100000000000058</v>
      </c>
      <c r="C15" s="79">
        <f t="shared" ref="C15:D15" si="19">+C21-C9</f>
        <v>0.26800000000000068</v>
      </c>
      <c r="D15" s="79">
        <f t="shared" si="19"/>
        <v>0.22299999999999898</v>
      </c>
      <c r="E15" s="79">
        <f t="shared" ref="E15" si="20">+E21-E9</f>
        <v>0.22600000000000264</v>
      </c>
      <c r="F15" s="146"/>
      <c r="G15" s="79">
        <f>+B15+C15+D15+E15</f>
        <v>0.99800000000000288</v>
      </c>
      <c r="H15" s="146"/>
      <c r="I15" s="79">
        <f t="shared" si="0"/>
        <v>0.18700000000000117</v>
      </c>
      <c r="J15" s="79">
        <f t="shared" ref="J15:K15" si="21">+J21-J9</f>
        <v>0.13200000000000145</v>
      </c>
      <c r="K15" s="79">
        <f t="shared" si="21"/>
        <v>0.11199999999999832</v>
      </c>
      <c r="L15" s="79">
        <f t="shared" ref="L15" si="22">+L21-L9</f>
        <v>8.0999999999999517E-2</v>
      </c>
      <c r="M15" s="146"/>
      <c r="N15" s="79">
        <f>+I15+J15+K15+L15</f>
        <v>0.51200000000000045</v>
      </c>
      <c r="P15" s="79">
        <f t="shared" ref="P15:Q15" si="23">+P21-P9</f>
        <v>6.0000000000000497E-2</v>
      </c>
      <c r="Q15" s="79">
        <f t="shared" si="23"/>
        <v>5.1999999999999602E-2</v>
      </c>
      <c r="R15" s="79">
        <f t="shared" ref="R15" si="24">+R21-R9</f>
        <v>4.8999999999999488E-2</v>
      </c>
      <c r="T15" s="79">
        <f>+T21-T9</f>
        <v>0.16099999999999426</v>
      </c>
    </row>
    <row r="16" spans="1:20" s="53" customFormat="1" ht="16.899999999999999" x14ac:dyDescent="0.5">
      <c r="A16" s="51" t="s">
        <v>70</v>
      </c>
      <c r="B16" s="80">
        <f>+B12+B15</f>
        <v>3.2070000000000025</v>
      </c>
      <c r="C16" s="80">
        <f>+C12+C15</f>
        <v>3.0180000000000007</v>
      </c>
      <c r="D16" s="80">
        <f>+D12+D15</f>
        <v>2.1669999999999874</v>
      </c>
      <c r="E16" s="80">
        <f>+E12+E15</f>
        <v>1.7709999999999901</v>
      </c>
      <c r="F16" s="152"/>
      <c r="G16" s="80">
        <f>+B16+C16+D16+E16</f>
        <v>10.162999999999981</v>
      </c>
      <c r="H16" s="152"/>
      <c r="I16" s="80">
        <f>+I12+I15</f>
        <v>1.0310000000000095</v>
      </c>
      <c r="J16" s="80">
        <f>+J12+J15</f>
        <v>1.0040000000000013</v>
      </c>
      <c r="K16" s="80">
        <f>+K12+K15</f>
        <v>2.0969999999999835</v>
      </c>
      <c r="L16" s="80">
        <f>+L12+L15</f>
        <v>2.0010000000000012</v>
      </c>
      <c r="M16" s="152"/>
      <c r="N16" s="80">
        <f>+I16+J16+K16+L16</f>
        <v>6.1329999999999956</v>
      </c>
      <c r="P16" s="80">
        <f>+P12+P15</f>
        <v>1.329000000000006</v>
      </c>
      <c r="Q16" s="80">
        <f>+Q12+Q15</f>
        <v>0.73200000000000642</v>
      </c>
      <c r="R16" s="80">
        <f>+R12+R15</f>
        <v>0.42299999999999471</v>
      </c>
      <c r="T16" s="80">
        <f>+T12+T15</f>
        <v>2.4839999999999733</v>
      </c>
    </row>
    <row r="17" spans="1:20" s="53" customFormat="1" ht="16.899999999999999" x14ac:dyDescent="0.5">
      <c r="A17" s="51"/>
      <c r="B17" s="80"/>
      <c r="C17" s="80"/>
      <c r="D17" s="80"/>
      <c r="E17" s="80"/>
      <c r="F17" s="152"/>
      <c r="G17" s="80"/>
      <c r="H17" s="152"/>
      <c r="I17" s="80"/>
      <c r="J17" s="80"/>
      <c r="K17" s="80"/>
      <c r="L17" s="80"/>
      <c r="M17" s="152"/>
      <c r="N17" s="80"/>
      <c r="P17" s="80"/>
      <c r="Q17" s="80"/>
      <c r="R17" s="80"/>
      <c r="T17" s="80"/>
    </row>
    <row r="18" spans="1:20" s="53" customFormat="1" ht="16.899999999999999" x14ac:dyDescent="0.5">
      <c r="A18" s="55" t="s">
        <v>71</v>
      </c>
      <c r="B18" s="56">
        <f>+B19+B20</f>
        <v>43.814</v>
      </c>
      <c r="C18" s="56">
        <f>+C19+C20</f>
        <v>50.978999999999999</v>
      </c>
      <c r="D18" s="56">
        <f>+D19+D20</f>
        <v>60.926999999999992</v>
      </c>
      <c r="E18" s="56">
        <f>+E19+E20</f>
        <v>71.396999999999991</v>
      </c>
      <c r="F18" s="149"/>
      <c r="G18" s="56">
        <f>+B18+C18+D18+E18</f>
        <v>227.11699999999999</v>
      </c>
      <c r="H18" s="149"/>
      <c r="I18" s="56">
        <f>+I19+I20</f>
        <v>64.436000000000007</v>
      </c>
      <c r="J18" s="56">
        <f>+J19+J20</f>
        <v>77.256</v>
      </c>
      <c r="K18" s="56">
        <f>+K19+K20</f>
        <v>84.087999999999994</v>
      </c>
      <c r="L18" s="56">
        <f>+L19+L20</f>
        <v>102.605</v>
      </c>
      <c r="M18" s="149"/>
      <c r="N18" s="56">
        <f>+I18+J18+K18+L18</f>
        <v>328.38499999999999</v>
      </c>
      <c r="P18" s="56">
        <f>+P19+P20</f>
        <v>95.998999999999995</v>
      </c>
      <c r="Q18" s="56">
        <f>+Q19+Q20</f>
        <v>103.23400000000001</v>
      </c>
      <c r="R18" s="56">
        <f>+R19+R20</f>
        <v>116.161</v>
      </c>
      <c r="T18" s="56">
        <f>+T19+T20</f>
        <v>315.39400000000001</v>
      </c>
    </row>
    <row r="19" spans="1:20" s="53" customFormat="1" ht="16.899999999999999" x14ac:dyDescent="0.5">
      <c r="A19" s="55" t="s">
        <v>72</v>
      </c>
      <c r="B19" s="56">
        <v>36.274999999999999</v>
      </c>
      <c r="C19" s="56">
        <v>38.524000000000001</v>
      </c>
      <c r="D19" s="56">
        <v>39.302999999999997</v>
      </c>
      <c r="E19" s="56">
        <v>40.847999999999999</v>
      </c>
      <c r="F19" s="149"/>
      <c r="G19" s="56">
        <f>+B19+C19+D19+E19</f>
        <v>154.94999999999999</v>
      </c>
      <c r="H19" s="149"/>
      <c r="I19" s="56">
        <v>40.091000000000001</v>
      </c>
      <c r="J19" s="56">
        <v>43.811999999999998</v>
      </c>
      <c r="K19" s="56">
        <v>50.374000000000002</v>
      </c>
      <c r="L19" s="56">
        <v>54.316000000000003</v>
      </c>
      <c r="M19" s="149"/>
      <c r="N19" s="56">
        <f>+I19+J19+K19+L19</f>
        <v>188.59299999999999</v>
      </c>
      <c r="P19" s="56">
        <v>50.554000000000002</v>
      </c>
      <c r="Q19" s="56">
        <v>55.359000000000002</v>
      </c>
      <c r="R19" s="56">
        <v>57.414999999999999</v>
      </c>
      <c r="T19" s="56">
        <f>SUM(P19:R19)</f>
        <v>163.328</v>
      </c>
    </row>
    <row r="20" spans="1:20" s="53" customFormat="1" ht="16.899999999999999" x14ac:dyDescent="0.5">
      <c r="A20" s="55" t="s">
        <v>240</v>
      </c>
      <c r="B20" s="56">
        <v>7.5389999999999997</v>
      </c>
      <c r="C20" s="56">
        <v>12.455</v>
      </c>
      <c r="D20" s="56">
        <v>21.623999999999999</v>
      </c>
      <c r="E20" s="56">
        <v>30.548999999999999</v>
      </c>
      <c r="F20" s="149"/>
      <c r="G20" s="56">
        <f>+B20+C20+D20+E20</f>
        <v>72.167000000000002</v>
      </c>
      <c r="H20" s="149"/>
      <c r="I20" s="56">
        <v>24.344999999999999</v>
      </c>
      <c r="J20" s="56">
        <v>33.444000000000003</v>
      </c>
      <c r="K20" s="56">
        <v>33.713999999999999</v>
      </c>
      <c r="L20" s="56">
        <v>48.289000000000001</v>
      </c>
      <c r="M20" s="149"/>
      <c r="N20" s="56">
        <f>+I20+J20+K20+L20</f>
        <v>139.792</v>
      </c>
      <c r="P20" s="56">
        <v>45.445</v>
      </c>
      <c r="Q20" s="56">
        <v>47.875</v>
      </c>
      <c r="R20" s="56">
        <v>58.746000000000002</v>
      </c>
      <c r="T20" s="56">
        <f>SUM(P20:R20)</f>
        <v>152.066</v>
      </c>
    </row>
    <row r="21" spans="1:20" s="53" customFormat="1" ht="16.899999999999999" x14ac:dyDescent="0.5">
      <c r="A21" s="55" t="s">
        <v>73</v>
      </c>
      <c r="B21" s="79">
        <v>14.413</v>
      </c>
      <c r="C21" s="79">
        <v>14.596</v>
      </c>
      <c r="D21" s="79">
        <v>15.106999999999999</v>
      </c>
      <c r="E21" s="79">
        <v>16.341000000000001</v>
      </c>
      <c r="F21" s="146"/>
      <c r="G21" s="79">
        <f>+B21+C21+D21+E21</f>
        <v>60.457000000000001</v>
      </c>
      <c r="H21" s="146"/>
      <c r="I21" s="79">
        <v>16.645</v>
      </c>
      <c r="J21" s="79">
        <v>17.004000000000001</v>
      </c>
      <c r="K21" s="79">
        <v>16.47</v>
      </c>
      <c r="L21" s="79">
        <v>16.041</v>
      </c>
      <c r="M21" s="146"/>
      <c r="N21" s="79">
        <f>+I21+J21+K21+L21</f>
        <v>66.16</v>
      </c>
      <c r="P21" s="79">
        <v>15.973000000000001</v>
      </c>
      <c r="Q21" s="79">
        <v>15.83</v>
      </c>
      <c r="R21" s="79">
        <v>15.484999999999999</v>
      </c>
      <c r="T21" s="79">
        <f>SUM(P21:S21)</f>
        <v>47.287999999999997</v>
      </c>
    </row>
    <row r="22" spans="1:20" s="53" customFormat="1" ht="16.899999999999999" x14ac:dyDescent="0.5">
      <c r="A22" s="51" t="s">
        <v>285</v>
      </c>
      <c r="B22" s="62">
        <f>+B18+B21</f>
        <v>58.227000000000004</v>
      </c>
      <c r="C22" s="62">
        <f>+C18+C21</f>
        <v>65.575000000000003</v>
      </c>
      <c r="D22" s="62">
        <f>+D18+D21</f>
        <v>76.033999999999992</v>
      </c>
      <c r="E22" s="62">
        <f>+E18+E21</f>
        <v>87.738</v>
      </c>
      <c r="F22" s="137"/>
      <c r="G22" s="62">
        <f>+B22+C22+D22+E22</f>
        <v>287.57400000000001</v>
      </c>
      <c r="H22" s="137"/>
      <c r="I22" s="62">
        <f>+I18+I21</f>
        <v>81.081000000000003</v>
      </c>
      <c r="J22" s="62">
        <f>+J18+J21</f>
        <v>94.26</v>
      </c>
      <c r="K22" s="62">
        <f>+K18+K21</f>
        <v>100.55799999999999</v>
      </c>
      <c r="L22" s="62">
        <f>+L18+L21</f>
        <v>118.646</v>
      </c>
      <c r="M22" s="137"/>
      <c r="N22" s="62">
        <f>+I22+J22+K22+L22</f>
        <v>394.54500000000002</v>
      </c>
      <c r="P22" s="62">
        <f>+P18+P21</f>
        <v>111.97199999999999</v>
      </c>
      <c r="Q22" s="62">
        <f>+Q18+Q21</f>
        <v>119.06400000000001</v>
      </c>
      <c r="R22" s="62">
        <f>+R18+R21</f>
        <v>131.64600000000002</v>
      </c>
      <c r="T22" s="62">
        <f>+T18+T21</f>
        <v>362.68200000000002</v>
      </c>
    </row>
    <row r="23" spans="1:20" s="58" customFormat="1" ht="16.5" x14ac:dyDescent="0.45"/>
    <row r="24" spans="1:20" s="58" customFormat="1" ht="16.5" x14ac:dyDescent="0.45"/>
    <row r="25" spans="1:20" s="58" customFormat="1" ht="16.5" x14ac:dyDescent="0.45"/>
    <row r="26" spans="1:20" s="58" customFormat="1" ht="16.5" x14ac:dyDescent="0.45"/>
    <row r="27" spans="1:20" s="58" customFormat="1" ht="16.5" x14ac:dyDescent="0.45"/>
    <row r="28" spans="1:20" x14ac:dyDescent="0.3">
      <c r="A28" s="44"/>
    </row>
    <row r="29" spans="1:20" x14ac:dyDescent="0.3">
      <c r="A29" s="44"/>
    </row>
    <row r="30" spans="1:20" x14ac:dyDescent="0.3">
      <c r="A30" s="44"/>
    </row>
    <row r="31" spans="1:20" x14ac:dyDescent="0.3">
      <c r="A31" s="44"/>
    </row>
    <row r="32" spans="1:20" x14ac:dyDescent="0.3">
      <c r="A32" s="44"/>
    </row>
    <row r="33" spans="1:1" x14ac:dyDescent="0.3">
      <c r="A33" s="44"/>
    </row>
    <row r="34" spans="1:1" x14ac:dyDescent="0.3">
      <c r="A34" s="44"/>
    </row>
    <row r="35" spans="1:1" x14ac:dyDescent="0.3">
      <c r="A35" s="44"/>
    </row>
    <row r="36" spans="1:1" x14ac:dyDescent="0.3">
      <c r="A36" s="44"/>
    </row>
    <row r="37" spans="1:1" x14ac:dyDescent="0.3">
      <c r="A37" s="44"/>
    </row>
    <row r="38" spans="1:1" x14ac:dyDescent="0.3">
      <c r="A38" s="44"/>
    </row>
    <row r="39" spans="1:1" x14ac:dyDescent="0.3">
      <c r="A39" s="44"/>
    </row>
    <row r="40" spans="1:1" x14ac:dyDescent="0.3">
      <c r="A40" s="44"/>
    </row>
    <row r="41" spans="1:1" x14ac:dyDescent="0.3">
      <c r="A41" s="44"/>
    </row>
    <row r="42" spans="1:1" x14ac:dyDescent="0.3">
      <c r="A42" s="44"/>
    </row>
    <row r="43" spans="1:1" x14ac:dyDescent="0.3">
      <c r="A43" s="44"/>
    </row>
    <row r="44" spans="1:1" x14ac:dyDescent="0.3">
      <c r="A44" s="44"/>
    </row>
    <row r="45" spans="1:1" x14ac:dyDescent="0.3">
      <c r="A45" s="44"/>
    </row>
    <row r="46" spans="1:1" x14ac:dyDescent="0.3">
      <c r="A46" s="44"/>
    </row>
    <row r="47" spans="1:1" x14ac:dyDescent="0.3">
      <c r="A47" s="44"/>
    </row>
    <row r="48" spans="1:1" x14ac:dyDescent="0.3">
      <c r="A48" s="44"/>
    </row>
    <row r="49" spans="1:1" x14ac:dyDescent="0.3">
      <c r="A49" s="44"/>
    </row>
    <row r="50" spans="1:1" x14ac:dyDescent="0.3">
      <c r="A50" s="44"/>
    </row>
    <row r="51" spans="1:1" x14ac:dyDescent="0.3">
      <c r="A51" s="44"/>
    </row>
    <row r="52" spans="1:1" x14ac:dyDescent="0.3">
      <c r="A52" s="44"/>
    </row>
    <row r="53" spans="1:1" x14ac:dyDescent="0.3">
      <c r="A53" s="44"/>
    </row>
    <row r="54" spans="1:1" x14ac:dyDescent="0.3">
      <c r="A54" s="44"/>
    </row>
    <row r="55" spans="1:1" x14ac:dyDescent="0.3">
      <c r="A55" s="44"/>
    </row>
    <row r="56" spans="1:1" x14ac:dyDescent="0.3">
      <c r="A56" s="44"/>
    </row>
    <row r="57" spans="1:1" x14ac:dyDescent="0.3">
      <c r="A57" s="44"/>
    </row>
    <row r="58" spans="1:1" x14ac:dyDescent="0.3">
      <c r="A58" s="44"/>
    </row>
    <row r="59" spans="1:1" x14ac:dyDescent="0.3">
      <c r="A59" s="44"/>
    </row>
    <row r="60" spans="1:1" x14ac:dyDescent="0.3">
      <c r="A60" s="44"/>
    </row>
    <row r="61" spans="1:1" x14ac:dyDescent="0.3">
      <c r="A61" s="44"/>
    </row>
    <row r="62" spans="1:1" x14ac:dyDescent="0.3">
      <c r="A62" s="44"/>
    </row>
    <row r="63" spans="1:1" x14ac:dyDescent="0.3">
      <c r="A63" s="44"/>
    </row>
    <row r="64" spans="1:1" x14ac:dyDescent="0.3">
      <c r="A64" s="44"/>
    </row>
    <row r="65" spans="1:1" x14ac:dyDescent="0.3">
      <c r="A65" s="44"/>
    </row>
    <row r="66" spans="1:1" x14ac:dyDescent="0.3">
      <c r="A66" s="44"/>
    </row>
    <row r="67" spans="1:1" x14ac:dyDescent="0.3">
      <c r="A67" s="44"/>
    </row>
    <row r="68" spans="1:1" x14ac:dyDescent="0.3">
      <c r="A68" s="44"/>
    </row>
    <row r="69" spans="1:1" x14ac:dyDescent="0.3">
      <c r="A69" s="44"/>
    </row>
    <row r="70" spans="1:1" x14ac:dyDescent="0.3">
      <c r="A70" s="44"/>
    </row>
    <row r="71" spans="1:1" x14ac:dyDescent="0.3">
      <c r="A71" s="44"/>
    </row>
    <row r="72" spans="1:1" x14ac:dyDescent="0.3">
      <c r="A72" s="44"/>
    </row>
    <row r="73" spans="1:1" x14ac:dyDescent="0.3">
      <c r="A73" s="44"/>
    </row>
    <row r="74" spans="1:1" x14ac:dyDescent="0.3">
      <c r="A74" s="44"/>
    </row>
    <row r="75" spans="1:1" x14ac:dyDescent="0.3">
      <c r="A75" s="44"/>
    </row>
    <row r="76" spans="1:1" x14ac:dyDescent="0.3">
      <c r="A76" s="44"/>
    </row>
    <row r="77" spans="1:1" x14ac:dyDescent="0.3">
      <c r="A77" s="44"/>
    </row>
    <row r="78" spans="1:1" x14ac:dyDescent="0.3">
      <c r="A78" s="44"/>
    </row>
    <row r="79" spans="1:1" x14ac:dyDescent="0.3">
      <c r="A79" s="44"/>
    </row>
    <row r="80" spans="1:1" x14ac:dyDescent="0.3">
      <c r="A80" s="44"/>
    </row>
    <row r="81" spans="1:1" x14ac:dyDescent="0.3">
      <c r="A81" s="44"/>
    </row>
    <row r="82" spans="1:1" x14ac:dyDescent="0.3">
      <c r="A82" s="44"/>
    </row>
    <row r="83" spans="1:1" x14ac:dyDescent="0.3">
      <c r="A83" s="44"/>
    </row>
    <row r="84" spans="1:1" x14ac:dyDescent="0.3">
      <c r="A84" s="44"/>
    </row>
    <row r="85" spans="1:1" x14ac:dyDescent="0.3">
      <c r="A85" s="44"/>
    </row>
    <row r="86" spans="1:1" x14ac:dyDescent="0.3">
      <c r="A86" s="44"/>
    </row>
    <row r="87" spans="1:1" x14ac:dyDescent="0.3">
      <c r="A87" s="44"/>
    </row>
    <row r="88" spans="1:1" x14ac:dyDescent="0.3">
      <c r="A88" s="44"/>
    </row>
    <row r="89" spans="1:1" x14ac:dyDescent="0.3">
      <c r="A89" s="44"/>
    </row>
    <row r="90" spans="1:1" x14ac:dyDescent="0.3">
      <c r="A90" s="44"/>
    </row>
    <row r="91" spans="1:1" x14ac:dyDescent="0.3">
      <c r="A91" s="44"/>
    </row>
    <row r="92" spans="1:1" x14ac:dyDescent="0.3">
      <c r="A92" s="44"/>
    </row>
    <row r="93" spans="1:1" x14ac:dyDescent="0.3">
      <c r="A93" s="44"/>
    </row>
    <row r="94" spans="1:1" x14ac:dyDescent="0.3">
      <c r="A94" s="44"/>
    </row>
    <row r="95" spans="1:1" x14ac:dyDescent="0.3">
      <c r="A95" s="44"/>
    </row>
    <row r="96" spans="1:1" x14ac:dyDescent="0.3">
      <c r="A96" s="44"/>
    </row>
    <row r="97" spans="1:1" x14ac:dyDescent="0.3">
      <c r="A97" s="44"/>
    </row>
    <row r="98" spans="1:1" x14ac:dyDescent="0.3">
      <c r="A98" s="44"/>
    </row>
    <row r="99" spans="1:1" x14ac:dyDescent="0.3">
      <c r="A99" s="44"/>
    </row>
    <row r="100" spans="1:1" x14ac:dyDescent="0.3">
      <c r="A100" s="44"/>
    </row>
    <row r="101" spans="1:1" x14ac:dyDescent="0.3">
      <c r="A101" s="44"/>
    </row>
    <row r="102" spans="1:1" x14ac:dyDescent="0.3">
      <c r="A102" s="44"/>
    </row>
    <row r="103" spans="1:1" x14ac:dyDescent="0.3">
      <c r="A103" s="44"/>
    </row>
    <row r="104" spans="1:1" x14ac:dyDescent="0.3">
      <c r="A104" s="44"/>
    </row>
    <row r="105" spans="1:1" x14ac:dyDescent="0.3">
      <c r="A105" s="44"/>
    </row>
    <row r="106" spans="1:1" x14ac:dyDescent="0.3">
      <c r="A106" s="44"/>
    </row>
    <row r="107" spans="1:1" x14ac:dyDescent="0.3">
      <c r="A107" s="44"/>
    </row>
    <row r="108" spans="1:1" x14ac:dyDescent="0.3">
      <c r="A108" s="44"/>
    </row>
    <row r="109" spans="1:1" x14ac:dyDescent="0.3">
      <c r="A109" s="44"/>
    </row>
    <row r="110" spans="1:1" x14ac:dyDescent="0.3">
      <c r="A110" s="44"/>
    </row>
    <row r="111" spans="1:1" x14ac:dyDescent="0.3">
      <c r="A111" s="44"/>
    </row>
    <row r="112" spans="1:1" x14ac:dyDescent="0.3">
      <c r="A112" s="44"/>
    </row>
    <row r="113" spans="1:1" x14ac:dyDescent="0.3">
      <c r="A113" s="44"/>
    </row>
    <row r="114" spans="1:1" x14ac:dyDescent="0.3">
      <c r="A114" s="44"/>
    </row>
    <row r="115" spans="1:1" x14ac:dyDescent="0.3">
      <c r="A115" s="44"/>
    </row>
    <row r="116" spans="1:1" x14ac:dyDescent="0.3">
      <c r="A116" s="44"/>
    </row>
    <row r="117" spans="1:1" x14ac:dyDescent="0.3">
      <c r="A117" s="44"/>
    </row>
  </sheetData>
  <mergeCells count="3">
    <mergeCell ref="B3:E3"/>
    <mergeCell ref="I3:L3"/>
    <mergeCell ref="P3:R3"/>
  </mergeCells>
  <pageMargins left="0.25" right="0.25" top="0.75" bottom="0.75" header="0.3" footer="0.3"/>
  <pageSetup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5830E-903B-4581-8524-9ED33C6AF248}">
  <sheetPr>
    <tabColor rgb="FF0079FF"/>
    <pageSetUpPr fitToPage="1"/>
  </sheetPr>
  <dimension ref="A1:T62"/>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72.86328125" style="68" customWidth="1"/>
    <col min="2" max="5" width="20.73046875" style="68" hidden="1" customWidth="1" outlineLevel="1"/>
    <col min="6" max="6" width="1.73046875" style="154" hidden="1" customWidth="1" outlineLevel="1"/>
    <col min="7" max="7" width="20.73046875" style="68" customWidth="1" collapsed="1"/>
    <col min="8" max="8" width="2.265625" style="154" customWidth="1"/>
    <col min="9" max="12" width="20.73046875" style="68" hidden="1" customWidth="1" outlineLevel="1"/>
    <col min="13" max="13" width="2.265625" style="154" hidden="1" customWidth="1" outlineLevel="1"/>
    <col min="14" max="14" width="20.73046875" style="68" customWidth="1" collapsed="1"/>
    <col min="15" max="15" width="2.59765625" style="68" customWidth="1"/>
    <col min="16" max="18" width="23" style="68" customWidth="1"/>
    <col min="19" max="19" width="1.3984375" style="44" customWidth="1"/>
    <col min="20" max="20" width="21.1328125" style="68" customWidth="1"/>
    <col min="21" max="16384" width="9.1328125" style="44"/>
  </cols>
  <sheetData>
    <row r="1" spans="1:20" ht="17.649999999999999" x14ac:dyDescent="0.5">
      <c r="A1" s="5" t="s">
        <v>105</v>
      </c>
    </row>
    <row r="2" spans="1:20" x14ac:dyDescent="0.3">
      <c r="A2" s="69"/>
    </row>
    <row r="3" spans="1:20" s="7" customFormat="1" ht="30" customHeight="1" x14ac:dyDescent="0.4">
      <c r="A3" s="48"/>
      <c r="B3" s="319" t="s">
        <v>10</v>
      </c>
      <c r="C3" s="319"/>
      <c r="D3" s="319"/>
      <c r="E3" s="319"/>
      <c r="F3" s="147"/>
      <c r="G3" s="47" t="s">
        <v>247</v>
      </c>
      <c r="H3" s="147"/>
      <c r="I3" s="319" t="s">
        <v>10</v>
      </c>
      <c r="J3" s="319"/>
      <c r="K3" s="319"/>
      <c r="L3" s="319"/>
      <c r="M3" s="147"/>
      <c r="N3" s="47" t="s">
        <v>247</v>
      </c>
      <c r="O3" s="70"/>
      <c r="P3" s="319" t="s">
        <v>10</v>
      </c>
      <c r="Q3" s="319"/>
      <c r="R3" s="319"/>
      <c r="T3" s="47" t="s">
        <v>289</v>
      </c>
    </row>
    <row r="4" spans="1:20" s="7" customFormat="1" ht="30" customHeight="1" x14ac:dyDescent="0.4">
      <c r="A4" s="48" t="s">
        <v>13</v>
      </c>
      <c r="B4" s="49" t="s">
        <v>43</v>
      </c>
      <c r="C4" s="49" t="s">
        <v>229</v>
      </c>
      <c r="D4" s="49" t="s">
        <v>241</v>
      </c>
      <c r="E4" s="49" t="s">
        <v>44</v>
      </c>
      <c r="F4" s="148"/>
      <c r="G4" s="49" t="s">
        <v>44</v>
      </c>
      <c r="H4" s="148"/>
      <c r="I4" s="49" t="s">
        <v>103</v>
      </c>
      <c r="J4" s="49" t="s">
        <v>230</v>
      </c>
      <c r="K4" s="49" t="s">
        <v>242</v>
      </c>
      <c r="L4" s="49" t="s">
        <v>246</v>
      </c>
      <c r="M4" s="148"/>
      <c r="N4" s="49" t="s">
        <v>246</v>
      </c>
      <c r="O4" s="70"/>
      <c r="P4" s="49" t="s">
        <v>267</v>
      </c>
      <c r="Q4" s="49" t="s">
        <v>277</v>
      </c>
      <c r="R4" s="49" t="s">
        <v>288</v>
      </c>
      <c r="T4" s="49" t="s">
        <v>288</v>
      </c>
    </row>
    <row r="5" spans="1:20" s="7" customFormat="1" ht="19.5" customHeight="1" x14ac:dyDescent="0.4">
      <c r="A5" s="139"/>
      <c r="B5" s="140"/>
      <c r="C5" s="140"/>
      <c r="D5" s="140"/>
      <c r="E5" s="140"/>
      <c r="F5" s="148"/>
      <c r="G5" s="140"/>
      <c r="H5" s="148"/>
      <c r="I5" s="140"/>
      <c r="J5" s="140"/>
      <c r="K5" s="140"/>
      <c r="L5" s="140"/>
      <c r="M5" s="148"/>
      <c r="N5" s="140"/>
      <c r="O5" s="70"/>
      <c r="P5" s="140"/>
      <c r="Q5" s="140"/>
      <c r="R5" s="140"/>
      <c r="T5" s="140"/>
    </row>
    <row r="6" spans="1:20" ht="16.899999999999999" x14ac:dyDescent="0.5">
      <c r="A6" s="77" t="s">
        <v>193</v>
      </c>
    </row>
    <row r="7" spans="1:20" s="58" customFormat="1" ht="16.899999999999999" x14ac:dyDescent="0.5">
      <c r="A7" s="53" t="s">
        <v>74</v>
      </c>
      <c r="B7" s="54">
        <f>+'Revenue Metrics'!C12</f>
        <v>185.86500000000001</v>
      </c>
      <c r="C7" s="54">
        <f>+'Revenue Metrics'!D12</f>
        <v>204.07999999999998</v>
      </c>
      <c r="D7" s="54">
        <f>+'Revenue Metrics'!E12</f>
        <v>215.22200000000001</v>
      </c>
      <c r="E7" s="54">
        <f>+'Revenue Metrics'!F12</f>
        <v>225.07999999999998</v>
      </c>
      <c r="F7" s="159"/>
      <c r="G7" s="54">
        <f>+B7+C7+D7+E7</f>
        <v>830.24700000000007</v>
      </c>
      <c r="H7" s="159"/>
      <c r="I7" s="54">
        <f>+'Revenue Metrics'!J12</f>
        <v>200.904</v>
      </c>
      <c r="J7" s="54">
        <f>+'Revenue Metrics'!K12</f>
        <v>214.61699999999999</v>
      </c>
      <c r="K7" s="54">
        <f>+'Revenue Metrics'!L12</f>
        <v>224.82</v>
      </c>
      <c r="L7" s="54">
        <f>+'Revenue Metrics'!M12</f>
        <v>234.16800000000001</v>
      </c>
      <c r="M7" s="159"/>
      <c r="N7" s="54">
        <f>+I7+J7+K7+L7</f>
        <v>874.5089999999999</v>
      </c>
      <c r="O7" s="73"/>
      <c r="P7" s="54">
        <f>+'Revenue Metrics'!Q12</f>
        <v>217.90600000000001</v>
      </c>
      <c r="Q7" s="54">
        <f>+'Revenue Metrics'!R12</f>
        <v>222.899</v>
      </c>
      <c r="R7" s="54">
        <f>+'Revenue Metrics'!S12</f>
        <v>225.19300000000001</v>
      </c>
      <c r="T7" s="54">
        <f>SUM(P7:S7)</f>
        <v>665.99800000000005</v>
      </c>
    </row>
    <row r="8" spans="1:20" s="58" customFormat="1" ht="16.5" x14ac:dyDescent="0.45">
      <c r="B8" s="73"/>
      <c r="C8" s="73"/>
      <c r="D8" s="73"/>
      <c r="E8" s="73"/>
      <c r="F8" s="160"/>
      <c r="G8" s="73"/>
      <c r="H8" s="160"/>
      <c r="I8" s="73"/>
      <c r="J8" s="73"/>
      <c r="K8" s="73"/>
      <c r="L8" s="73"/>
      <c r="M8" s="160"/>
      <c r="N8" s="73"/>
      <c r="O8" s="73"/>
      <c r="P8" s="73"/>
      <c r="Q8" s="73"/>
      <c r="R8" s="73"/>
      <c r="T8" s="73"/>
    </row>
    <row r="9" spans="1:20" s="58" customFormat="1" ht="16.5" x14ac:dyDescent="0.45">
      <c r="A9" s="58" t="s">
        <v>161</v>
      </c>
      <c r="B9" s="81">
        <v>34.927999999999997</v>
      </c>
      <c r="C9" s="81">
        <v>32.936</v>
      </c>
      <c r="D9" s="81">
        <v>35.387999999999998</v>
      </c>
      <c r="E9" s="81">
        <v>35.792000000000002</v>
      </c>
      <c r="F9" s="161"/>
      <c r="G9" s="81">
        <f>+B9+C9+D9+E9</f>
        <v>139.04400000000001</v>
      </c>
      <c r="H9" s="161"/>
      <c r="I9" s="81">
        <v>38.076000000000001</v>
      </c>
      <c r="J9" s="81">
        <v>37.636000000000003</v>
      </c>
      <c r="K9" s="81">
        <v>36.811</v>
      </c>
      <c r="L9" s="81">
        <v>44.045999999999999</v>
      </c>
      <c r="M9" s="161"/>
      <c r="N9" s="81">
        <f>+I9+J9+K9+L9</f>
        <v>156.56899999999999</v>
      </c>
      <c r="O9" s="73"/>
      <c r="P9" s="81">
        <v>41.027999999999999</v>
      </c>
      <c r="Q9" s="81">
        <v>40.851999999999997</v>
      </c>
      <c r="R9" s="81">
        <v>38.834000000000003</v>
      </c>
      <c r="T9" s="81">
        <f>SUM(P9:S9)</f>
        <v>120.714</v>
      </c>
    </row>
    <row r="10" spans="1:20" s="58" customFormat="1" ht="16.5" x14ac:dyDescent="0.45">
      <c r="A10" s="58" t="s">
        <v>162</v>
      </c>
      <c r="B10" s="81">
        <v>31.619</v>
      </c>
      <c r="C10" s="81">
        <v>29.776</v>
      </c>
      <c r="D10" s="81">
        <v>34.44</v>
      </c>
      <c r="E10" s="81">
        <v>34.71</v>
      </c>
      <c r="F10" s="161"/>
      <c r="G10" s="81">
        <f>+B10+C10+D10+E10</f>
        <v>130.54499999999999</v>
      </c>
      <c r="H10" s="161"/>
      <c r="I10" s="81">
        <v>29.88</v>
      </c>
      <c r="J10" s="81">
        <v>30.504999999999999</v>
      </c>
      <c r="K10" s="81">
        <v>30.524000000000001</v>
      </c>
      <c r="L10" s="81">
        <v>33.317</v>
      </c>
      <c r="M10" s="161"/>
      <c r="N10" s="81">
        <f>+I10+J10+K10+L10</f>
        <v>124.226</v>
      </c>
      <c r="O10" s="73"/>
      <c r="P10" s="81">
        <v>32.067999999999998</v>
      </c>
      <c r="Q10" s="81">
        <v>30.7</v>
      </c>
      <c r="R10" s="81">
        <v>28.013000000000002</v>
      </c>
      <c r="T10" s="81">
        <f>SUM(P10:S10)</f>
        <v>90.781000000000006</v>
      </c>
    </row>
    <row r="11" spans="1:20" s="58" customFormat="1" ht="16.5" x14ac:dyDescent="0.45">
      <c r="A11" s="58" t="s">
        <v>75</v>
      </c>
      <c r="B11" s="82">
        <v>4.3559999999999999</v>
      </c>
      <c r="C11" s="82">
        <v>4.1890000000000001</v>
      </c>
      <c r="D11" s="82">
        <v>4.0439999999999996</v>
      </c>
      <c r="E11" s="82">
        <v>5.3730000000000002</v>
      </c>
      <c r="F11" s="86"/>
      <c r="G11" s="82">
        <f>+B11+C11+D11+E11</f>
        <v>17.962</v>
      </c>
      <c r="H11" s="86"/>
      <c r="I11" s="82">
        <v>4.3840000000000003</v>
      </c>
      <c r="J11" s="82">
        <v>4.4260000000000002</v>
      </c>
      <c r="K11" s="82">
        <v>4.7489999999999997</v>
      </c>
      <c r="L11" s="82">
        <v>4.218</v>
      </c>
      <c r="M11" s="86"/>
      <c r="N11" s="82">
        <f>+I11+J11+K11+L11</f>
        <v>17.777000000000001</v>
      </c>
      <c r="O11" s="73"/>
      <c r="P11" s="82">
        <v>3.6389999999999998</v>
      </c>
      <c r="Q11" s="82">
        <v>3.5529999999999999</v>
      </c>
      <c r="R11" s="82">
        <v>3.55</v>
      </c>
      <c r="T11" s="82">
        <f>SUM(P11:S11)</f>
        <v>10.742000000000001</v>
      </c>
    </row>
    <row r="12" spans="1:20" s="58" customFormat="1" ht="16.899999999999999" x14ac:dyDescent="0.5">
      <c r="A12" s="53" t="s">
        <v>76</v>
      </c>
      <c r="B12" s="94">
        <f>SUM(B9:B11)</f>
        <v>70.902999999999992</v>
      </c>
      <c r="C12" s="94">
        <f>SUM(C9:C11)</f>
        <v>66.90100000000001</v>
      </c>
      <c r="D12" s="94">
        <f>SUM(D9:D11)</f>
        <v>73.872</v>
      </c>
      <c r="E12" s="94">
        <f>SUM(E9:E11)</f>
        <v>75.875000000000014</v>
      </c>
      <c r="F12" s="153"/>
      <c r="G12" s="94">
        <f>+B12+C12+D12+E12</f>
        <v>287.55099999999999</v>
      </c>
      <c r="H12" s="153"/>
      <c r="I12" s="94">
        <f>SUM(I9:I11)</f>
        <v>72.34</v>
      </c>
      <c r="J12" s="94">
        <f>SUM(J9:J11)</f>
        <v>72.567000000000007</v>
      </c>
      <c r="K12" s="94">
        <f>SUM(K9:K11)</f>
        <v>72.084000000000003</v>
      </c>
      <c r="L12" s="94">
        <f>SUM(L9:L11)</f>
        <v>81.581000000000003</v>
      </c>
      <c r="M12" s="153"/>
      <c r="N12" s="94">
        <f>+I12+J12+K12+L12</f>
        <v>298.572</v>
      </c>
      <c r="O12" s="73"/>
      <c r="P12" s="94">
        <f>SUM(P9:P11)</f>
        <v>76.734999999999999</v>
      </c>
      <c r="Q12" s="94">
        <f>SUM(Q9:Q11)</f>
        <v>75.10499999999999</v>
      </c>
      <c r="R12" s="94">
        <f>SUM(R9:R11)</f>
        <v>70.397000000000006</v>
      </c>
      <c r="T12" s="94">
        <f>SUM(P12:S12)</f>
        <v>222.23699999999997</v>
      </c>
    </row>
    <row r="13" spans="1:20" s="58" customFormat="1" ht="16.5" x14ac:dyDescent="0.45">
      <c r="B13" s="81"/>
      <c r="C13" s="81"/>
      <c r="D13" s="81"/>
      <c r="E13" s="81"/>
      <c r="F13" s="161"/>
      <c r="G13" s="81"/>
      <c r="H13" s="161"/>
      <c r="I13" s="81"/>
      <c r="J13" s="81"/>
      <c r="K13" s="81"/>
      <c r="L13" s="81"/>
      <c r="M13" s="161"/>
      <c r="N13" s="81"/>
      <c r="O13" s="73"/>
      <c r="P13" s="81"/>
      <c r="Q13" s="81"/>
      <c r="R13" s="81"/>
      <c r="T13" s="81"/>
    </row>
    <row r="14" spans="1:20" s="58" customFormat="1" ht="16.899999999999999" x14ac:dyDescent="0.5">
      <c r="A14" s="53" t="s">
        <v>77</v>
      </c>
      <c r="B14" s="54">
        <f>+B7-B12</f>
        <v>114.96200000000002</v>
      </c>
      <c r="C14" s="54">
        <f>+C7-C12</f>
        <v>137.17899999999997</v>
      </c>
      <c r="D14" s="54">
        <f>+D7-D12</f>
        <v>141.35000000000002</v>
      </c>
      <c r="E14" s="54">
        <f>+E7-E12</f>
        <v>149.20499999999998</v>
      </c>
      <c r="F14" s="159"/>
      <c r="G14" s="54">
        <f>+B14+C14+D14+E14</f>
        <v>542.69599999999991</v>
      </c>
      <c r="H14" s="159"/>
      <c r="I14" s="54">
        <f>+I7-I12</f>
        <v>128.56399999999999</v>
      </c>
      <c r="J14" s="54">
        <f>+J7-J12</f>
        <v>142.04999999999998</v>
      </c>
      <c r="K14" s="54">
        <f>+K7-K12</f>
        <v>152.73599999999999</v>
      </c>
      <c r="L14" s="54">
        <f>+L7-L12</f>
        <v>152.58699999999999</v>
      </c>
      <c r="M14" s="159"/>
      <c r="N14" s="54">
        <f>+I14+J14+K14+L14</f>
        <v>575.9369999999999</v>
      </c>
      <c r="O14" s="73"/>
      <c r="P14" s="54">
        <f>+P7-P12</f>
        <v>141.17099999999999</v>
      </c>
      <c r="Q14" s="54">
        <f>+Q7-Q12</f>
        <v>147.79400000000001</v>
      </c>
      <c r="R14" s="54">
        <f>+R7-R12</f>
        <v>154.79599999999999</v>
      </c>
      <c r="T14" s="54">
        <f>SUM(P14:S14)</f>
        <v>443.76100000000002</v>
      </c>
    </row>
    <row r="15" spans="1:20" s="58" customFormat="1" ht="16.899999999999999" x14ac:dyDescent="0.5">
      <c r="A15" s="53" t="s">
        <v>78</v>
      </c>
      <c r="B15" s="83">
        <v>0.61899999999999999</v>
      </c>
      <c r="C15" s="83">
        <v>0.67200000000000004</v>
      </c>
      <c r="D15" s="83">
        <v>0.65700000000000003</v>
      </c>
      <c r="E15" s="83">
        <v>0.66300000000000003</v>
      </c>
      <c r="F15" s="162"/>
      <c r="G15" s="83">
        <v>0.65400000000000003</v>
      </c>
      <c r="H15" s="162"/>
      <c r="I15" s="83">
        <v>0.64</v>
      </c>
      <c r="J15" s="83">
        <v>0.66200000000000003</v>
      </c>
      <c r="K15" s="83">
        <v>0.67900000000000005</v>
      </c>
      <c r="L15" s="83">
        <v>0.65200000000000002</v>
      </c>
      <c r="M15" s="162"/>
      <c r="N15" s="83">
        <v>0.65900000000000003</v>
      </c>
      <c r="O15" s="73"/>
      <c r="P15" s="83">
        <v>0.64800000000000002</v>
      </c>
      <c r="Q15" s="83">
        <v>0.66300000000000003</v>
      </c>
      <c r="R15" s="83">
        <v>0.68700000000000006</v>
      </c>
      <c r="T15" s="83">
        <v>0.66600000000000004</v>
      </c>
    </row>
    <row r="16" spans="1:20" s="58" customFormat="1" ht="16.5" x14ac:dyDescent="0.45">
      <c r="A16" s="58" t="s">
        <v>79</v>
      </c>
      <c r="B16" s="84">
        <f>+'Revenue Metrics'!C20</f>
        <v>3.2620000000000005</v>
      </c>
      <c r="C16" s="84">
        <f>+'Revenue Metrics'!D20</f>
        <v>3.0660000000000309</v>
      </c>
      <c r="D16" s="84">
        <f>+'Revenue Metrics'!E20</f>
        <v>2.2269999999999754</v>
      </c>
      <c r="E16" s="84">
        <f>+'Revenue Metrics'!F20</f>
        <v>1.7810000000000059</v>
      </c>
      <c r="F16" s="163"/>
      <c r="G16" s="84">
        <f t="shared" ref="G16:G25" si="0">+B16+C16+D16+E16</f>
        <v>10.336000000000013</v>
      </c>
      <c r="H16" s="163"/>
      <c r="I16" s="84">
        <v>1.0389999999999999</v>
      </c>
      <c r="J16" s="84">
        <v>1.0129999999999999</v>
      </c>
      <c r="K16" s="84">
        <v>2.1080000000000001</v>
      </c>
      <c r="L16" s="84">
        <v>2.0110000000000001</v>
      </c>
      <c r="M16" s="163"/>
      <c r="N16" s="84">
        <f t="shared" ref="N16:N25" si="1">+I16+J16+K16+L16</f>
        <v>6.1710000000000003</v>
      </c>
      <c r="O16" s="73"/>
      <c r="P16" s="84">
        <v>1.343</v>
      </c>
      <c r="Q16" s="84">
        <v>0.73199999999999998</v>
      </c>
      <c r="R16" s="84">
        <v>0.42299999999999999</v>
      </c>
      <c r="T16" s="84">
        <f t="shared" ref="T16:T25" si="2">SUM(P16:S16)</f>
        <v>2.4980000000000002</v>
      </c>
    </row>
    <row r="17" spans="1:20" s="58" customFormat="1" ht="16.5" x14ac:dyDescent="0.45">
      <c r="A17" s="58" t="s">
        <v>75</v>
      </c>
      <c r="B17" s="81">
        <f>B11</f>
        <v>4.3559999999999999</v>
      </c>
      <c r="C17" s="81">
        <f>C11</f>
        <v>4.1890000000000001</v>
      </c>
      <c r="D17" s="81">
        <f>D11</f>
        <v>4.0439999999999996</v>
      </c>
      <c r="E17" s="81">
        <f>E11</f>
        <v>5.3730000000000002</v>
      </c>
      <c r="F17" s="161"/>
      <c r="G17" s="81">
        <f t="shared" si="0"/>
        <v>17.962</v>
      </c>
      <c r="H17" s="161"/>
      <c r="I17" s="81">
        <v>4.3840000000000003</v>
      </c>
      <c r="J17" s="81">
        <v>4.4260000000000002</v>
      </c>
      <c r="K17" s="81">
        <v>4.7489999999999997</v>
      </c>
      <c r="L17" s="81">
        <v>4.218</v>
      </c>
      <c r="M17" s="161"/>
      <c r="N17" s="81">
        <f t="shared" si="1"/>
        <v>17.777000000000001</v>
      </c>
      <c r="O17" s="73"/>
      <c r="P17" s="81">
        <v>3.6389999999999998</v>
      </c>
      <c r="Q17" s="81">
        <v>3.5529999999999999</v>
      </c>
      <c r="R17" s="81">
        <v>3.55</v>
      </c>
      <c r="T17" s="81">
        <f t="shared" si="2"/>
        <v>10.742000000000001</v>
      </c>
    </row>
    <row r="18" spans="1:20" s="58" customFormat="1" ht="16.5" x14ac:dyDescent="0.45">
      <c r="A18" s="58" t="s">
        <v>88</v>
      </c>
      <c r="B18" s="81">
        <v>0.53700000000000003</v>
      </c>
      <c r="C18" s="81">
        <v>1.157</v>
      </c>
      <c r="D18" s="81">
        <v>1.7529999999999999</v>
      </c>
      <c r="E18" s="81">
        <v>-0.154</v>
      </c>
      <c r="F18" s="161"/>
      <c r="G18" s="81">
        <f t="shared" si="0"/>
        <v>3.2930000000000001</v>
      </c>
      <c r="H18" s="161"/>
      <c r="I18" s="81">
        <v>1.262</v>
      </c>
      <c r="J18" s="81">
        <v>1.4259999999999999</v>
      </c>
      <c r="K18" s="81">
        <v>1.23</v>
      </c>
      <c r="L18" s="81">
        <v>1.1100000000000001</v>
      </c>
      <c r="M18" s="161"/>
      <c r="N18" s="81">
        <f t="shared" si="1"/>
        <v>5.0279999999999996</v>
      </c>
      <c r="O18" s="73"/>
      <c r="P18" s="81">
        <v>1.165</v>
      </c>
      <c r="Q18" s="81">
        <v>1.7509999999999999</v>
      </c>
      <c r="R18" s="81">
        <v>1.329</v>
      </c>
      <c r="T18" s="81">
        <f t="shared" si="2"/>
        <v>4.2450000000000001</v>
      </c>
    </row>
    <row r="19" spans="1:20" s="58" customFormat="1" ht="16.5" x14ac:dyDescent="0.45">
      <c r="A19" s="58" t="s">
        <v>227</v>
      </c>
      <c r="B19" s="84">
        <v>0.189</v>
      </c>
      <c r="C19" s="84">
        <v>5.2999999999999999E-2</v>
      </c>
      <c r="D19" s="84">
        <v>9.1999999999999998E-2</v>
      </c>
      <c r="E19" s="84">
        <v>1.7999999999999999E-2</v>
      </c>
      <c r="F19" s="163"/>
      <c r="G19" s="84">
        <f t="shared" si="0"/>
        <v>0.35199999999999998</v>
      </c>
      <c r="H19" s="163"/>
      <c r="I19" s="84">
        <v>2.5000000000000001E-2</v>
      </c>
      <c r="J19" s="84">
        <v>2.5000000000000001E-2</v>
      </c>
      <c r="K19" s="84">
        <v>0.121</v>
      </c>
      <c r="L19" s="84">
        <v>0.16900000000000001</v>
      </c>
      <c r="M19" s="163"/>
      <c r="N19" s="84">
        <f t="shared" si="1"/>
        <v>0.33999999999999997</v>
      </c>
      <c r="O19" s="73"/>
      <c r="P19" s="84">
        <v>0.251</v>
      </c>
      <c r="Q19" s="84">
        <v>-7.4999999999999997E-2</v>
      </c>
      <c r="R19" s="84">
        <v>0</v>
      </c>
      <c r="T19" s="84">
        <f t="shared" si="2"/>
        <v>0.17599999999999999</v>
      </c>
    </row>
    <row r="20" spans="1:20" s="58" customFormat="1" ht="16.5" x14ac:dyDescent="0.45">
      <c r="A20" s="58" t="s">
        <v>89</v>
      </c>
      <c r="B20" s="85">
        <v>1.619</v>
      </c>
      <c r="C20" s="85">
        <v>-5.8999999999999997E-2</v>
      </c>
      <c r="D20" s="85">
        <v>0.20100000000000001</v>
      </c>
      <c r="E20" s="85">
        <v>0.40899999999999997</v>
      </c>
      <c r="F20" s="86"/>
      <c r="G20" s="85">
        <f t="shared" si="0"/>
        <v>2.17</v>
      </c>
      <c r="H20" s="86"/>
      <c r="I20" s="85">
        <v>0.46200000000000002</v>
      </c>
      <c r="J20" s="85">
        <v>8.5000000000000006E-2</v>
      </c>
      <c r="K20" s="85">
        <v>0.245</v>
      </c>
      <c r="L20" s="85">
        <f>0.052</f>
        <v>5.1999999999999998E-2</v>
      </c>
      <c r="M20" s="86"/>
      <c r="N20" s="85">
        <f t="shared" si="1"/>
        <v>0.84400000000000008</v>
      </c>
      <c r="O20" s="73"/>
      <c r="P20" s="85">
        <v>0.33800000000000002</v>
      </c>
      <c r="Q20" s="85">
        <v>3.7999999999999999E-2</v>
      </c>
      <c r="R20" s="85">
        <v>0.59299999999999997</v>
      </c>
      <c r="T20" s="85">
        <f t="shared" si="2"/>
        <v>0.96899999999999997</v>
      </c>
    </row>
    <row r="21" spans="1:20" s="58" customFormat="1" ht="16.5" x14ac:dyDescent="0.45">
      <c r="A21" s="58" t="s">
        <v>236</v>
      </c>
      <c r="B21" s="85">
        <v>0</v>
      </c>
      <c r="C21" s="85">
        <v>0</v>
      </c>
      <c r="D21" s="85">
        <v>0</v>
      </c>
      <c r="E21" s="85">
        <v>0</v>
      </c>
      <c r="F21" s="86"/>
      <c r="G21" s="85">
        <f t="shared" si="0"/>
        <v>0</v>
      </c>
      <c r="H21" s="86"/>
      <c r="I21" s="85">
        <v>7.8E-2</v>
      </c>
      <c r="J21" s="85">
        <v>0</v>
      </c>
      <c r="K21" s="85">
        <v>0</v>
      </c>
      <c r="L21" s="85">
        <v>0</v>
      </c>
      <c r="M21" s="86"/>
      <c r="N21" s="85">
        <f t="shared" si="1"/>
        <v>7.8E-2</v>
      </c>
      <c r="O21" s="73"/>
      <c r="P21" s="85">
        <v>0</v>
      </c>
      <c r="Q21" s="85">
        <v>0</v>
      </c>
      <c r="R21" s="85">
        <v>0</v>
      </c>
      <c r="T21" s="85">
        <f t="shared" si="2"/>
        <v>0</v>
      </c>
    </row>
    <row r="22" spans="1:20" s="58" customFormat="1" ht="16.5" x14ac:dyDescent="0.45">
      <c r="A22" s="58" t="s">
        <v>90</v>
      </c>
      <c r="B22" s="85">
        <v>0</v>
      </c>
      <c r="C22" s="85">
        <v>0</v>
      </c>
      <c r="D22" s="85">
        <v>0.14499999999999999</v>
      </c>
      <c r="E22" s="85">
        <v>0</v>
      </c>
      <c r="F22" s="86"/>
      <c r="G22" s="85">
        <f t="shared" si="0"/>
        <v>0.14499999999999999</v>
      </c>
      <c r="H22" s="86"/>
      <c r="I22" s="85">
        <v>0</v>
      </c>
      <c r="J22" s="85">
        <v>0</v>
      </c>
      <c r="K22" s="85">
        <v>0</v>
      </c>
      <c r="L22" s="85">
        <v>0</v>
      </c>
      <c r="M22" s="86"/>
      <c r="N22" s="85">
        <f t="shared" si="1"/>
        <v>0</v>
      </c>
      <c r="O22" s="73"/>
      <c r="P22" s="85">
        <v>0</v>
      </c>
      <c r="Q22" s="85">
        <v>0</v>
      </c>
      <c r="R22" s="85">
        <v>0</v>
      </c>
      <c r="T22" s="85">
        <f t="shared" si="2"/>
        <v>0</v>
      </c>
    </row>
    <row r="23" spans="1:20" s="58" customFormat="1" ht="16.5" x14ac:dyDescent="0.45">
      <c r="A23" s="55" t="s">
        <v>153</v>
      </c>
      <c r="B23" s="85">
        <v>1.425</v>
      </c>
      <c r="C23" s="85">
        <v>0.45200000000000001</v>
      </c>
      <c r="D23" s="85">
        <v>1.4330000000000001</v>
      </c>
      <c r="E23" s="85">
        <v>1.365</v>
      </c>
      <c r="F23" s="86"/>
      <c r="G23" s="85">
        <f t="shared" si="0"/>
        <v>4.6749999999999998</v>
      </c>
      <c r="H23" s="86"/>
      <c r="I23" s="85">
        <v>0</v>
      </c>
      <c r="J23" s="85">
        <v>0</v>
      </c>
      <c r="K23" s="85">
        <v>0</v>
      </c>
      <c r="L23" s="85">
        <v>0</v>
      </c>
      <c r="M23" s="86"/>
      <c r="N23" s="85">
        <f t="shared" si="1"/>
        <v>0</v>
      </c>
      <c r="O23" s="73"/>
      <c r="P23" s="85">
        <v>0</v>
      </c>
      <c r="Q23" s="85">
        <v>0</v>
      </c>
      <c r="R23" s="85">
        <v>0</v>
      </c>
      <c r="T23" s="85">
        <f t="shared" si="2"/>
        <v>0</v>
      </c>
    </row>
    <row r="24" spans="1:20" s="58" customFormat="1" ht="16.5" x14ac:dyDescent="0.45">
      <c r="A24" s="55" t="s">
        <v>154</v>
      </c>
      <c r="B24" s="82">
        <v>-0.54300000000000004</v>
      </c>
      <c r="C24" s="82">
        <v>0.25</v>
      </c>
      <c r="D24" s="82">
        <v>-0.121</v>
      </c>
      <c r="E24" s="82">
        <v>-0.40500000000000003</v>
      </c>
      <c r="F24" s="86"/>
      <c r="G24" s="82">
        <f t="shared" si="0"/>
        <v>-0.81900000000000006</v>
      </c>
      <c r="H24" s="86"/>
      <c r="I24" s="82">
        <v>0</v>
      </c>
      <c r="J24" s="82">
        <v>0</v>
      </c>
      <c r="K24" s="82">
        <v>0</v>
      </c>
      <c r="L24" s="82">
        <v>0</v>
      </c>
      <c r="M24" s="86"/>
      <c r="N24" s="82">
        <f t="shared" si="1"/>
        <v>0</v>
      </c>
      <c r="O24" s="73"/>
      <c r="P24" s="82">
        <v>0</v>
      </c>
      <c r="Q24" s="82">
        <v>0</v>
      </c>
      <c r="R24" s="82">
        <v>0</v>
      </c>
      <c r="T24" s="82">
        <f t="shared" si="2"/>
        <v>0</v>
      </c>
    </row>
    <row r="25" spans="1:20" s="58" customFormat="1" ht="16.899999999999999" x14ac:dyDescent="0.5">
      <c r="A25" s="53" t="s">
        <v>159</v>
      </c>
      <c r="B25" s="62">
        <f>SUM(B16:B24)+B14</f>
        <v>125.80700000000002</v>
      </c>
      <c r="C25" s="62">
        <f>SUM(C16:C24)+C14</f>
        <v>146.28700000000001</v>
      </c>
      <c r="D25" s="62">
        <f>SUM(D16:D24)+D14</f>
        <v>151.124</v>
      </c>
      <c r="E25" s="62">
        <f>SUM(E16:E24)+E14</f>
        <v>157.59199999999998</v>
      </c>
      <c r="F25" s="137"/>
      <c r="G25" s="62">
        <f t="shared" si="0"/>
        <v>580.81000000000006</v>
      </c>
      <c r="H25" s="137"/>
      <c r="I25" s="62">
        <f>SUM(I16:I24)+I14</f>
        <v>135.81399999999999</v>
      </c>
      <c r="J25" s="62">
        <f>SUM(J16:J24)+J14</f>
        <v>149.02499999999998</v>
      </c>
      <c r="K25" s="62">
        <f>SUM(K16:K24)+K14</f>
        <v>161.18899999999999</v>
      </c>
      <c r="L25" s="62">
        <f>SUM(L16:L24)+L14</f>
        <v>160.14699999999999</v>
      </c>
      <c r="M25" s="137"/>
      <c r="N25" s="62">
        <f t="shared" si="1"/>
        <v>606.17499999999995</v>
      </c>
      <c r="O25" s="73"/>
      <c r="P25" s="62">
        <f>SUM(P16:P24)+P14</f>
        <v>147.90699999999998</v>
      </c>
      <c r="Q25" s="62">
        <f>SUM(Q16:Q24)+Q14</f>
        <v>153.79300000000001</v>
      </c>
      <c r="R25" s="62">
        <f>SUM(R16:R24)+R14</f>
        <v>160.691</v>
      </c>
      <c r="T25" s="62">
        <f t="shared" si="2"/>
        <v>462.39099999999996</v>
      </c>
    </row>
    <row r="26" spans="1:20" s="58" customFormat="1" ht="16.899999999999999" x14ac:dyDescent="0.5">
      <c r="A26" s="53" t="s">
        <v>160</v>
      </c>
      <c r="B26" s="83">
        <v>0.66500000000000004</v>
      </c>
      <c r="C26" s="83">
        <v>0.70599999999999996</v>
      </c>
      <c r="D26" s="83">
        <v>0.69499999999999995</v>
      </c>
      <c r="E26" s="83">
        <v>0.69499999999999995</v>
      </c>
      <c r="F26" s="162"/>
      <c r="G26" s="83">
        <v>0.69099999999999995</v>
      </c>
      <c r="H26" s="162"/>
      <c r="I26" s="83">
        <v>0.67300000000000004</v>
      </c>
      <c r="J26" s="83">
        <v>0.69099999999999995</v>
      </c>
      <c r="K26" s="83">
        <v>0.71</v>
      </c>
      <c r="L26" s="83">
        <v>0.67800000000000005</v>
      </c>
      <c r="M26" s="162"/>
      <c r="N26" s="83">
        <v>0.68799999999999994</v>
      </c>
      <c r="O26" s="73"/>
      <c r="P26" s="83">
        <v>0.67500000000000004</v>
      </c>
      <c r="Q26" s="83">
        <v>0.68799999999999994</v>
      </c>
      <c r="R26" s="83">
        <v>0.71199999999999997</v>
      </c>
      <c r="T26" s="83">
        <v>0.69199999999999995</v>
      </c>
    </row>
    <row r="29" spans="1:20" ht="16.899999999999999" x14ac:dyDescent="0.5">
      <c r="A29" s="77" t="s">
        <v>194</v>
      </c>
    </row>
    <row r="30" spans="1:20" ht="16.5" x14ac:dyDescent="0.45">
      <c r="A30" s="55" t="s">
        <v>164</v>
      </c>
      <c r="B30" s="72">
        <f>'Revenue Metrics'!C6</f>
        <v>129.07</v>
      </c>
      <c r="C30" s="72">
        <f>'Revenue Metrics'!D6</f>
        <v>139.267</v>
      </c>
      <c r="D30" s="72">
        <f>'Revenue Metrics'!E6</f>
        <v>150.233</v>
      </c>
      <c r="E30" s="72">
        <f>'Revenue Metrics'!F6</f>
        <v>157.054</v>
      </c>
      <c r="F30" s="155"/>
      <c r="G30" s="72">
        <f>+B30+C30+D30+E30</f>
        <v>575.62400000000002</v>
      </c>
      <c r="H30" s="155"/>
      <c r="I30" s="72">
        <f>'Revenue Metrics'!J6</f>
        <v>144.453</v>
      </c>
      <c r="J30" s="72">
        <f>'Revenue Metrics'!K6</f>
        <v>156.178</v>
      </c>
      <c r="K30" s="72">
        <f>'Revenue Metrics'!L6</f>
        <v>158.81100000000001</v>
      </c>
      <c r="L30" s="72">
        <f>'Revenue Metrics'!M6</f>
        <v>173.68700000000001</v>
      </c>
      <c r="M30" s="155"/>
      <c r="N30" s="72">
        <f>+I30+J30+K30+L30</f>
        <v>633.12900000000002</v>
      </c>
      <c r="P30" s="72">
        <f>'Revenue Metrics'!Q6</f>
        <v>159.36699999999999</v>
      </c>
      <c r="Q30" s="72">
        <f>'Revenue Metrics'!R6</f>
        <v>166.44</v>
      </c>
      <c r="R30" s="72">
        <f>'Revenue Metrics'!S6</f>
        <v>174.22200000000001</v>
      </c>
      <c r="T30" s="72">
        <f>SUM(P30:S30)</f>
        <v>500.029</v>
      </c>
    </row>
    <row r="31" spans="1:20" ht="16.5" x14ac:dyDescent="0.45">
      <c r="A31" s="55" t="s">
        <v>165</v>
      </c>
      <c r="B31" s="82">
        <f>B9</f>
        <v>34.927999999999997</v>
      </c>
      <c r="C31" s="82">
        <f>C9</f>
        <v>32.936</v>
      </c>
      <c r="D31" s="82">
        <f>D9</f>
        <v>35.387999999999998</v>
      </c>
      <c r="E31" s="82">
        <f>E9</f>
        <v>35.792000000000002</v>
      </c>
      <c r="F31" s="86"/>
      <c r="G31" s="82">
        <f>+B31+C31+D31+E31</f>
        <v>139.04400000000001</v>
      </c>
      <c r="H31" s="86"/>
      <c r="I31" s="82">
        <f>I9</f>
        <v>38.076000000000001</v>
      </c>
      <c r="J31" s="82">
        <f>J9</f>
        <v>37.636000000000003</v>
      </c>
      <c r="K31" s="82">
        <f>K9</f>
        <v>36.811</v>
      </c>
      <c r="L31" s="82">
        <f>L9</f>
        <v>44.045999999999999</v>
      </c>
      <c r="M31" s="86"/>
      <c r="N31" s="82">
        <f>+I31+J31+K31+L31</f>
        <v>156.56899999999999</v>
      </c>
      <c r="P31" s="82">
        <f>P9</f>
        <v>41.027999999999999</v>
      </c>
      <c r="Q31" s="82">
        <f>Q9</f>
        <v>40.851999999999997</v>
      </c>
      <c r="R31" s="82">
        <f>R9</f>
        <v>38.834000000000003</v>
      </c>
      <c r="T31" s="82">
        <f>SUM(P31:S31)</f>
        <v>120.714</v>
      </c>
    </row>
    <row r="32" spans="1:20" ht="16.899999999999999" x14ac:dyDescent="0.5">
      <c r="A32" s="51" t="s">
        <v>166</v>
      </c>
      <c r="B32" s="94">
        <f>+B30-B31</f>
        <v>94.141999999999996</v>
      </c>
      <c r="C32" s="94">
        <f>+C30-C31</f>
        <v>106.33099999999999</v>
      </c>
      <c r="D32" s="94">
        <f>+D30-D31</f>
        <v>114.845</v>
      </c>
      <c r="E32" s="94">
        <f>+E30-E31</f>
        <v>121.262</v>
      </c>
      <c r="F32" s="153"/>
      <c r="G32" s="94">
        <f>+B32+C32+D32+E32</f>
        <v>436.58</v>
      </c>
      <c r="H32" s="153"/>
      <c r="I32" s="94">
        <f>+I30-I31</f>
        <v>106.37700000000001</v>
      </c>
      <c r="J32" s="94">
        <f>+J30-J31</f>
        <v>118.542</v>
      </c>
      <c r="K32" s="94">
        <f>+K30-K31</f>
        <v>122</v>
      </c>
      <c r="L32" s="94">
        <f>+L30-L31</f>
        <v>129.64100000000002</v>
      </c>
      <c r="M32" s="153"/>
      <c r="N32" s="94">
        <f>+I32+J32+K32+L32</f>
        <v>476.56</v>
      </c>
      <c r="P32" s="94">
        <f>+P30-P31</f>
        <v>118.339</v>
      </c>
      <c r="Q32" s="94">
        <f>+Q30-Q31</f>
        <v>125.58799999999999</v>
      </c>
      <c r="R32" s="94">
        <f>+R30-R31</f>
        <v>135.38800000000001</v>
      </c>
      <c r="T32" s="94">
        <f>SUM(P32:S32)</f>
        <v>379.315</v>
      </c>
    </row>
    <row r="33" spans="1:20" ht="16.899999999999999" x14ac:dyDescent="0.5">
      <c r="A33" s="51" t="s">
        <v>167</v>
      </c>
      <c r="B33" s="83">
        <f>B32/'Revenue Metrics'!C6</f>
        <v>0.72938715425737977</v>
      </c>
      <c r="C33" s="83">
        <f>C32/'Revenue Metrics'!D6</f>
        <v>0.76350463498172572</v>
      </c>
      <c r="D33" s="83">
        <f>D32/'Revenue Metrics'!E6</f>
        <v>0.76444589404458407</v>
      </c>
      <c r="E33" s="83">
        <f>E32/'Revenue Metrics'!F6</f>
        <v>0.77210386236581052</v>
      </c>
      <c r="F33" s="162"/>
      <c r="G33" s="83">
        <f>G32/'Revenue Metrics'!H6</f>
        <v>0.75844648590051833</v>
      </c>
      <c r="H33" s="162"/>
      <c r="I33" s="83">
        <f>I32/'Revenue Metrics'!J6</f>
        <v>0.73641253556520114</v>
      </c>
      <c r="J33" s="83">
        <f>J32/'Revenue Metrics'!K6</f>
        <v>0.75901855575048982</v>
      </c>
      <c r="K33" s="83">
        <f>K32/'Revenue Metrics'!L6</f>
        <v>0.7682087512829715</v>
      </c>
      <c r="L33" s="83">
        <f>L32/'Revenue Metrics'!M6</f>
        <v>0.74640589105690125</v>
      </c>
      <c r="M33" s="162"/>
      <c r="N33" s="83">
        <f>N32/'Revenue Metrics'!O6</f>
        <v>0.75270600462149106</v>
      </c>
      <c r="P33" s="83">
        <f>P32/'Revenue Metrics'!Q6</f>
        <v>0.74255648911004168</v>
      </c>
      <c r="Q33" s="83">
        <f>Q32/'Revenue Metrics'!R6</f>
        <v>0.75455419370343668</v>
      </c>
      <c r="R33" s="83">
        <f>R32/'Revenue Metrics'!S6</f>
        <v>0.77710048099551143</v>
      </c>
      <c r="T33" s="83">
        <f>T32/'Revenue Metrics'!U6</f>
        <v>0.75858600201188331</v>
      </c>
    </row>
    <row r="35" spans="1:20" ht="16.5" x14ac:dyDescent="0.45">
      <c r="A35" s="58" t="s">
        <v>168</v>
      </c>
      <c r="B35" s="85">
        <f>B16</f>
        <v>3.2620000000000005</v>
      </c>
      <c r="C35" s="85">
        <f>C16</f>
        <v>3.0660000000000309</v>
      </c>
      <c r="D35" s="85">
        <f>D16</f>
        <v>2.2269999999999754</v>
      </c>
      <c r="E35" s="85">
        <f>E16</f>
        <v>1.7810000000000059</v>
      </c>
      <c r="F35" s="86"/>
      <c r="G35" s="85">
        <f t="shared" ref="G35:G43" si="3">+B35+C35+D35+E35</f>
        <v>10.336000000000013</v>
      </c>
      <c r="H35" s="86"/>
      <c r="I35" s="85">
        <v>1.0389999999999999</v>
      </c>
      <c r="J35" s="85">
        <v>1.0129999999999999</v>
      </c>
      <c r="K35" s="85">
        <v>2.1080000000000001</v>
      </c>
      <c r="L35" s="85">
        <v>2.0110000000000001</v>
      </c>
      <c r="M35" s="86"/>
      <c r="N35" s="85">
        <f t="shared" ref="N35:N43" si="4">+I35+J35+K35+L35</f>
        <v>6.1710000000000003</v>
      </c>
      <c r="P35" s="85">
        <v>1.343</v>
      </c>
      <c r="Q35" s="85">
        <v>0.73199999999999998</v>
      </c>
      <c r="R35" s="85">
        <v>0.42299999999999999</v>
      </c>
      <c r="T35" s="85">
        <f t="shared" ref="T35:T43" si="5">SUM(P35:S35)</f>
        <v>2.4980000000000002</v>
      </c>
    </row>
    <row r="36" spans="1:20" ht="16.5" x14ac:dyDescent="0.45">
      <c r="A36" s="58" t="s">
        <v>169</v>
      </c>
      <c r="B36" s="85">
        <v>0.26500000000000001</v>
      </c>
      <c r="C36" s="85">
        <v>0.47199999999999998</v>
      </c>
      <c r="D36" s="85">
        <v>0.58399999999999996</v>
      </c>
      <c r="E36" s="85">
        <v>-0.21199999999999999</v>
      </c>
      <c r="F36" s="86"/>
      <c r="G36" s="85">
        <f t="shared" si="3"/>
        <v>1.109</v>
      </c>
      <c r="H36" s="86"/>
      <c r="I36" s="85">
        <v>0.42899999999999999</v>
      </c>
      <c r="J36" s="85">
        <v>0.56200000000000006</v>
      </c>
      <c r="K36" s="85">
        <v>0.54</v>
      </c>
      <c r="L36" s="85">
        <v>0.46800000000000003</v>
      </c>
      <c r="M36" s="86"/>
      <c r="N36" s="85">
        <f t="shared" si="4"/>
        <v>1.9990000000000001</v>
      </c>
      <c r="P36" s="85">
        <v>0.52500000000000002</v>
      </c>
      <c r="Q36" s="85">
        <v>0.93300000000000005</v>
      </c>
      <c r="R36" s="85">
        <v>0.72899999999999998</v>
      </c>
      <c r="T36" s="85">
        <f t="shared" si="5"/>
        <v>2.1870000000000003</v>
      </c>
    </row>
    <row r="37" spans="1:20" ht="16.5" x14ac:dyDescent="0.45">
      <c r="A37" s="58" t="s">
        <v>170</v>
      </c>
      <c r="B37" s="85">
        <v>2.8000000000000001E-2</v>
      </c>
      <c r="C37" s="85">
        <v>2.5999999999999999E-2</v>
      </c>
      <c r="D37" s="85">
        <v>7.6999999999999999E-2</v>
      </c>
      <c r="E37" s="85">
        <v>1.5E-3</v>
      </c>
      <c r="F37" s="86"/>
      <c r="G37" s="85">
        <f t="shared" si="3"/>
        <v>0.13250000000000001</v>
      </c>
      <c r="H37" s="86"/>
      <c r="I37" s="85">
        <v>2.5000000000000001E-2</v>
      </c>
      <c r="J37" s="85">
        <v>2.5000000000000001E-2</v>
      </c>
      <c r="K37" s="85">
        <v>0.03</v>
      </c>
      <c r="L37" s="85">
        <v>3.6999999999999998E-2</v>
      </c>
      <c r="M37" s="86"/>
      <c r="N37" s="85">
        <f t="shared" si="4"/>
        <v>0.11699999999999999</v>
      </c>
      <c r="P37" s="85">
        <v>2.1999999999999999E-2</v>
      </c>
      <c r="Q37" s="85">
        <v>0</v>
      </c>
      <c r="R37" s="85">
        <v>0</v>
      </c>
      <c r="T37" s="85">
        <f t="shared" si="5"/>
        <v>2.1999999999999999E-2</v>
      </c>
    </row>
    <row r="38" spans="1:20" ht="16.5" x14ac:dyDescent="0.45">
      <c r="A38" s="58" t="s">
        <v>171</v>
      </c>
      <c r="B38" s="85">
        <v>0.78100000000000003</v>
      </c>
      <c r="C38" s="85">
        <v>2E-3</v>
      </c>
      <c r="D38" s="85">
        <v>0.11899999999999999</v>
      </c>
      <c r="E38" s="85">
        <v>0.1</v>
      </c>
      <c r="F38" s="86"/>
      <c r="G38" s="85">
        <f t="shared" si="3"/>
        <v>1.002</v>
      </c>
      <c r="H38" s="86"/>
      <c r="I38" s="85">
        <v>0.35299999999999998</v>
      </c>
      <c r="J38" s="85">
        <v>9.0999999999999998E-2</v>
      </c>
      <c r="K38" s="85">
        <v>3.5000000000000003E-2</v>
      </c>
      <c r="L38" s="85">
        <f>0.052</f>
        <v>5.1999999999999998E-2</v>
      </c>
      <c r="M38" s="86"/>
      <c r="N38" s="85">
        <f t="shared" si="4"/>
        <v>0.53100000000000003</v>
      </c>
      <c r="P38" s="85">
        <v>0.111</v>
      </c>
      <c r="Q38" s="85">
        <v>1.7999999999999999E-2</v>
      </c>
      <c r="R38" s="85">
        <v>0.45900000000000002</v>
      </c>
      <c r="T38" s="85">
        <f t="shared" si="5"/>
        <v>0.58800000000000008</v>
      </c>
    </row>
    <row r="39" spans="1:20" ht="16.5" x14ac:dyDescent="0.45">
      <c r="A39" s="58" t="s">
        <v>237</v>
      </c>
      <c r="B39" s="85">
        <f>B21</f>
        <v>0</v>
      </c>
      <c r="C39" s="85">
        <v>0</v>
      </c>
      <c r="D39" s="85">
        <v>0</v>
      </c>
      <c r="E39" s="85">
        <v>0</v>
      </c>
      <c r="F39" s="86"/>
      <c r="G39" s="85">
        <f t="shared" si="3"/>
        <v>0</v>
      </c>
      <c r="H39" s="86"/>
      <c r="I39" s="85">
        <v>3.2000000000000001E-2</v>
      </c>
      <c r="J39" s="85">
        <v>0</v>
      </c>
      <c r="K39" s="85">
        <v>0</v>
      </c>
      <c r="L39" s="85">
        <v>0</v>
      </c>
      <c r="M39" s="86"/>
      <c r="N39" s="85">
        <f t="shared" si="4"/>
        <v>3.2000000000000001E-2</v>
      </c>
      <c r="P39" s="85">
        <v>0</v>
      </c>
      <c r="Q39" s="85">
        <v>0</v>
      </c>
      <c r="R39" s="85">
        <v>0</v>
      </c>
      <c r="T39" s="85">
        <f t="shared" si="5"/>
        <v>0</v>
      </c>
    </row>
    <row r="40" spans="1:20" ht="16.5" x14ac:dyDescent="0.45">
      <c r="A40" s="58" t="s">
        <v>243</v>
      </c>
      <c r="B40" s="85">
        <v>0</v>
      </c>
      <c r="C40" s="85">
        <v>0</v>
      </c>
      <c r="D40" s="85">
        <v>0</v>
      </c>
      <c r="E40" s="85">
        <v>0</v>
      </c>
      <c r="F40" s="86"/>
      <c r="G40" s="85">
        <f t="shared" si="3"/>
        <v>0</v>
      </c>
      <c r="H40" s="86"/>
      <c r="I40" s="85">
        <v>0</v>
      </c>
      <c r="J40" s="85">
        <v>0</v>
      </c>
      <c r="K40" s="85">
        <v>0</v>
      </c>
      <c r="L40" s="85">
        <v>0</v>
      </c>
      <c r="M40" s="86"/>
      <c r="N40" s="85">
        <f t="shared" si="4"/>
        <v>0</v>
      </c>
      <c r="P40" s="85">
        <v>0</v>
      </c>
      <c r="Q40" s="85">
        <v>0</v>
      </c>
      <c r="R40" s="85">
        <v>0</v>
      </c>
      <c r="T40" s="85">
        <f t="shared" si="5"/>
        <v>0</v>
      </c>
    </row>
    <row r="41" spans="1:20" ht="16.5" x14ac:dyDescent="0.45">
      <c r="A41" s="55" t="s">
        <v>172</v>
      </c>
      <c r="B41" s="85">
        <v>0.224</v>
      </c>
      <c r="C41" s="85">
        <v>0.24099999999999999</v>
      </c>
      <c r="D41" s="85">
        <v>0.33200000000000002</v>
      </c>
      <c r="E41" s="85">
        <v>0.17599999999999999</v>
      </c>
      <c r="F41" s="86"/>
      <c r="G41" s="85">
        <f t="shared" si="3"/>
        <v>0.97299999999999986</v>
      </c>
      <c r="H41" s="86"/>
      <c r="I41" s="85">
        <v>0</v>
      </c>
      <c r="J41" s="85">
        <v>0</v>
      </c>
      <c r="K41" s="85">
        <v>0</v>
      </c>
      <c r="L41" s="85">
        <v>0</v>
      </c>
      <c r="M41" s="86"/>
      <c r="N41" s="85">
        <f t="shared" si="4"/>
        <v>0</v>
      </c>
      <c r="P41" s="85">
        <v>0</v>
      </c>
      <c r="Q41" s="85">
        <v>0</v>
      </c>
      <c r="R41" s="85">
        <v>0</v>
      </c>
      <c r="T41" s="85">
        <f t="shared" si="5"/>
        <v>0</v>
      </c>
    </row>
    <row r="42" spans="1:20" ht="16.5" x14ac:dyDescent="0.45">
      <c r="A42" s="55" t="s">
        <v>173</v>
      </c>
      <c r="B42" s="82">
        <v>0.20699999999999999</v>
      </c>
      <c r="C42" s="82">
        <v>9.2999999999999999E-2</v>
      </c>
      <c r="D42" s="82">
        <v>0.111</v>
      </c>
      <c r="E42" s="82">
        <v>0.17899999999999999</v>
      </c>
      <c r="F42" s="86"/>
      <c r="G42" s="82">
        <f t="shared" si="3"/>
        <v>0.59</v>
      </c>
      <c r="H42" s="86"/>
      <c r="I42" s="82">
        <v>0</v>
      </c>
      <c r="J42" s="82">
        <v>0</v>
      </c>
      <c r="K42" s="82">
        <v>0</v>
      </c>
      <c r="L42" s="82">
        <v>0</v>
      </c>
      <c r="M42" s="86"/>
      <c r="N42" s="82">
        <f t="shared" si="4"/>
        <v>0</v>
      </c>
      <c r="P42" s="82">
        <v>0</v>
      </c>
      <c r="Q42" s="82">
        <v>0</v>
      </c>
      <c r="R42" s="82">
        <v>0</v>
      </c>
      <c r="T42" s="82">
        <f t="shared" si="5"/>
        <v>0</v>
      </c>
    </row>
    <row r="43" spans="1:20" ht="16.899999999999999" x14ac:dyDescent="0.5">
      <c r="A43" s="51" t="s">
        <v>174</v>
      </c>
      <c r="B43" s="62">
        <f>+B32+SUM(B35:B42)</f>
        <v>98.908999999999992</v>
      </c>
      <c r="C43" s="62">
        <f>+C32+SUM(C35:C42)</f>
        <v>110.23100000000002</v>
      </c>
      <c r="D43" s="62">
        <f>+D32+SUM(D35:D42)</f>
        <v>118.29499999999997</v>
      </c>
      <c r="E43" s="62">
        <f>+E32+SUM(E35:E42)</f>
        <v>123.28750000000001</v>
      </c>
      <c r="F43" s="137"/>
      <c r="G43" s="62">
        <f t="shared" si="3"/>
        <v>450.72250000000003</v>
      </c>
      <c r="H43" s="137"/>
      <c r="I43" s="62">
        <f>+I32+SUM(I35:I42)</f>
        <v>108.25500000000001</v>
      </c>
      <c r="J43" s="62">
        <f>+J32+SUM(J35:J42)</f>
        <v>120.233</v>
      </c>
      <c r="K43" s="62">
        <f>+K32+SUM(K35:K42)</f>
        <v>124.71299999999999</v>
      </c>
      <c r="L43" s="62">
        <f>+L32+SUM(L35:L42)</f>
        <v>132.20900000000003</v>
      </c>
      <c r="M43" s="137"/>
      <c r="N43" s="62">
        <f t="shared" si="4"/>
        <v>485.41000000000008</v>
      </c>
      <c r="P43" s="62">
        <f>+P32+SUM(P35:P42)</f>
        <v>120.34</v>
      </c>
      <c r="Q43" s="62">
        <f>+Q32+SUM(Q35:Q42)</f>
        <v>127.271</v>
      </c>
      <c r="R43" s="62">
        <f>+R32+SUM(R35:R42)</f>
        <v>136.999</v>
      </c>
      <c r="T43" s="62">
        <f t="shared" si="5"/>
        <v>384.61</v>
      </c>
    </row>
    <row r="44" spans="1:20" ht="16.899999999999999" x14ac:dyDescent="0.5">
      <c r="A44" s="51" t="s">
        <v>175</v>
      </c>
      <c r="B44" s="83">
        <f>B43/'Revenue Metrics'!C22</f>
        <v>0.74743070459148198</v>
      </c>
      <c r="C44" s="83">
        <f>C43/'Revenue Metrics'!D22</f>
        <v>0.77445848819318097</v>
      </c>
      <c r="D44" s="83">
        <f>D43/'Revenue Metrics'!E22</f>
        <v>0.77590843499934403</v>
      </c>
      <c r="E44" s="83">
        <f>E43/'Revenue Metrics'!F22</f>
        <v>0.77619857084395771</v>
      </c>
      <c r="F44" s="162"/>
      <c r="G44" s="83">
        <f>G43/'Revenue Metrics'!H22</f>
        <v>0.76920352925114355</v>
      </c>
      <c r="H44" s="162"/>
      <c r="I44" s="83">
        <f>I43/'Revenue Metrics'!J22</f>
        <v>0.74406152915624224</v>
      </c>
      <c r="J44" s="83">
        <f>J43/'Revenue Metrics'!K22</f>
        <v>0.76488475803322076</v>
      </c>
      <c r="K44" s="83">
        <f>K43/'Revenue Metrics'!L22</f>
        <v>0.77500481608759686</v>
      </c>
      <c r="L44" s="83">
        <f>L43/'Revenue Metrics'!M22</f>
        <v>0.75247868501633497</v>
      </c>
      <c r="M44" s="162"/>
      <c r="N44" s="83">
        <f>N43/'Revenue Metrics'!O22</f>
        <v>0.75928359142812474</v>
      </c>
      <c r="P44" s="83">
        <f>P43/'Revenue Metrics'!Q22</f>
        <v>0.74880219028062978</v>
      </c>
      <c r="Q44" s="83">
        <f>Q43/'Revenue Metrics'!R22</f>
        <v>0.76131768477974782</v>
      </c>
      <c r="R44" s="83">
        <f>R43/'Revenue Metrics'!S22</f>
        <v>0.7844427266741103</v>
      </c>
      <c r="T44" s="83">
        <f>T43/'Revenue Metrics'!U22</f>
        <v>0.76535191143958448</v>
      </c>
    </row>
    <row r="45" spans="1:20" ht="16.899999999999999" x14ac:dyDescent="0.5">
      <c r="A45" s="51"/>
      <c r="B45" s="83"/>
      <c r="C45" s="83"/>
      <c r="D45" s="83"/>
      <c r="E45" s="83"/>
      <c r="F45" s="162"/>
      <c r="G45" s="83"/>
      <c r="H45" s="162"/>
      <c r="I45" s="83"/>
      <c r="J45" s="83"/>
      <c r="K45" s="83"/>
      <c r="L45" s="83"/>
      <c r="M45" s="162"/>
      <c r="N45" s="83"/>
      <c r="P45" s="83"/>
      <c r="Q45" s="83"/>
      <c r="R45" s="83"/>
      <c r="T45" s="83"/>
    </row>
    <row r="47" spans="1:20" ht="16.899999999999999" x14ac:dyDescent="0.5">
      <c r="A47" s="77" t="s">
        <v>195</v>
      </c>
    </row>
    <row r="48" spans="1:20" ht="16.5" x14ac:dyDescent="0.45">
      <c r="A48" s="55" t="s">
        <v>176</v>
      </c>
      <c r="B48" s="72">
        <f>'Revenue Metrics'!C9</f>
        <v>56.795000000000002</v>
      </c>
      <c r="C48" s="72">
        <f>'Revenue Metrics'!D9</f>
        <v>64.813000000000002</v>
      </c>
      <c r="D48" s="72">
        <f>'Revenue Metrics'!E9</f>
        <v>64.989000000000004</v>
      </c>
      <c r="E48" s="72">
        <f>'Revenue Metrics'!F9</f>
        <v>68.025999999999996</v>
      </c>
      <c r="F48" s="155"/>
      <c r="G48" s="72">
        <f>+B48+C48+D48+E48</f>
        <v>254.62299999999999</v>
      </c>
      <c r="H48" s="155"/>
      <c r="I48" s="72">
        <f>'Revenue Metrics'!J9</f>
        <v>56.451000000000001</v>
      </c>
      <c r="J48" s="72">
        <f>'Revenue Metrics'!K9</f>
        <v>58.438999999999993</v>
      </c>
      <c r="K48" s="72">
        <f>'Revenue Metrics'!L9</f>
        <v>66.009</v>
      </c>
      <c r="L48" s="72">
        <f>'Revenue Metrics'!M9</f>
        <v>60.480999999999995</v>
      </c>
      <c r="M48" s="155"/>
      <c r="N48" s="72">
        <f>+I48+J48+K48+L48</f>
        <v>241.38</v>
      </c>
      <c r="P48" s="72">
        <f>'Revenue Metrics'!Q9</f>
        <v>58.539000000000001</v>
      </c>
      <c r="Q48" s="72">
        <f>'Revenue Metrics'!R9</f>
        <v>56.459000000000003</v>
      </c>
      <c r="R48" s="72">
        <f>'Revenue Metrics'!S9</f>
        <v>50.971000000000004</v>
      </c>
      <c r="T48" s="72">
        <f>SUM(P48:S48)</f>
        <v>165.96899999999999</v>
      </c>
    </row>
    <row r="49" spans="1:20" ht="16.5" x14ac:dyDescent="0.45">
      <c r="A49" s="55" t="s">
        <v>177</v>
      </c>
      <c r="B49" s="82">
        <f>B10</f>
        <v>31.619</v>
      </c>
      <c r="C49" s="82">
        <f>C10</f>
        <v>29.776</v>
      </c>
      <c r="D49" s="82">
        <f>D10</f>
        <v>34.44</v>
      </c>
      <c r="E49" s="82">
        <f>E10</f>
        <v>34.71</v>
      </c>
      <c r="F49" s="86"/>
      <c r="G49" s="82">
        <f>+B49+C49+D49+E49</f>
        <v>130.54499999999999</v>
      </c>
      <c r="H49" s="86"/>
      <c r="I49" s="82">
        <f>I10</f>
        <v>29.88</v>
      </c>
      <c r="J49" s="82">
        <f>J10</f>
        <v>30.504999999999999</v>
      </c>
      <c r="K49" s="82">
        <f>K10</f>
        <v>30.524000000000001</v>
      </c>
      <c r="L49" s="82">
        <f>L10</f>
        <v>33.317</v>
      </c>
      <c r="M49" s="86"/>
      <c r="N49" s="82">
        <f>+I49+J49+K49+L49</f>
        <v>124.226</v>
      </c>
      <c r="P49" s="82">
        <f>P10</f>
        <v>32.067999999999998</v>
      </c>
      <c r="Q49" s="82">
        <f>Q10</f>
        <v>30.7</v>
      </c>
      <c r="R49" s="82">
        <f>R10</f>
        <v>28.013000000000002</v>
      </c>
      <c r="T49" s="82">
        <f>SUM(P49:S49)</f>
        <v>90.781000000000006</v>
      </c>
    </row>
    <row r="50" spans="1:20" ht="16.899999999999999" x14ac:dyDescent="0.5">
      <c r="A50" s="51" t="s">
        <v>178</v>
      </c>
      <c r="B50" s="94">
        <f>+B48-B49</f>
        <v>25.176000000000002</v>
      </c>
      <c r="C50" s="94">
        <f>+C48-C49</f>
        <v>35.037000000000006</v>
      </c>
      <c r="D50" s="94">
        <f>+D48-D49</f>
        <v>30.549000000000007</v>
      </c>
      <c r="E50" s="94">
        <f>+E48-E49</f>
        <v>33.315999999999995</v>
      </c>
      <c r="F50" s="153"/>
      <c r="G50" s="94">
        <f>+B50+C50+D50+E50</f>
        <v>124.078</v>
      </c>
      <c r="H50" s="153"/>
      <c r="I50" s="94">
        <f>+I48-I49</f>
        <v>26.571000000000002</v>
      </c>
      <c r="J50" s="94">
        <f>+J48-J49</f>
        <v>27.933999999999994</v>
      </c>
      <c r="K50" s="94">
        <f>+K48-K49</f>
        <v>35.484999999999999</v>
      </c>
      <c r="L50" s="94">
        <f>+L48-L49</f>
        <v>27.163999999999994</v>
      </c>
      <c r="M50" s="153"/>
      <c r="N50" s="94">
        <f>+I50+J50+K50+L50</f>
        <v>117.154</v>
      </c>
      <c r="P50" s="94">
        <f>+P48-P49</f>
        <v>26.471000000000004</v>
      </c>
      <c r="Q50" s="94">
        <f>+Q48-Q49</f>
        <v>25.759000000000004</v>
      </c>
      <c r="R50" s="94">
        <f>+R48-R49</f>
        <v>22.958000000000002</v>
      </c>
      <c r="T50" s="94">
        <f>SUM(P50:S50)</f>
        <v>75.188000000000002</v>
      </c>
    </row>
    <row r="51" spans="1:20" ht="16.899999999999999" x14ac:dyDescent="0.5">
      <c r="A51" s="51" t="s">
        <v>179</v>
      </c>
      <c r="B51" s="83">
        <f>B50/'Revenue Metrics'!C9</f>
        <v>0.44327845761070517</v>
      </c>
      <c r="C51" s="83">
        <f>C50/'Revenue Metrics'!D9</f>
        <v>0.5405859935506766</v>
      </c>
      <c r="D51" s="83">
        <f>D50/'Revenue Metrics'!E9</f>
        <v>0.47006416470479628</v>
      </c>
      <c r="E51" s="83">
        <f>E50/'Revenue Metrics'!F9</f>
        <v>0.48975391761973358</v>
      </c>
      <c r="F51" s="162"/>
      <c r="G51" s="83">
        <f>G50/'Revenue Metrics'!H9</f>
        <v>0.48730083299623367</v>
      </c>
      <c r="H51" s="162"/>
      <c r="I51" s="83">
        <f>I50/'Revenue Metrics'!J9</f>
        <v>0.47069139607801458</v>
      </c>
      <c r="J51" s="83">
        <f>J50/'Revenue Metrics'!K9</f>
        <v>0.47800270367391634</v>
      </c>
      <c r="K51" s="83">
        <f>K50/'Revenue Metrics'!L9</f>
        <v>0.53757820903210163</v>
      </c>
      <c r="L51" s="83">
        <f>L50/'Revenue Metrics'!M9</f>
        <v>0.44913278550288516</v>
      </c>
      <c r="M51" s="162"/>
      <c r="N51" s="83">
        <f>N50/'Revenue Metrics'!O9</f>
        <v>0.48535089899743145</v>
      </c>
      <c r="P51" s="83">
        <f>P50/'Revenue Metrics'!Q9</f>
        <v>0.45219426365329102</v>
      </c>
      <c r="Q51" s="83">
        <f>Q50/'Revenue Metrics'!R9</f>
        <v>0.45624258311340976</v>
      </c>
      <c r="R51" s="83">
        <f>R50/'Revenue Metrics'!S9</f>
        <v>0.45041297992976398</v>
      </c>
      <c r="T51" s="83">
        <f>T50/'Revenue Metrics'!U9</f>
        <v>0.45302435997083795</v>
      </c>
    </row>
    <row r="53" spans="1:20" ht="16.5" x14ac:dyDescent="0.45">
      <c r="A53" s="58" t="s">
        <v>180</v>
      </c>
      <c r="B53" s="85">
        <v>0</v>
      </c>
      <c r="C53" s="85">
        <v>0</v>
      </c>
      <c r="D53" s="85">
        <v>0</v>
      </c>
      <c r="E53" s="85">
        <v>0</v>
      </c>
      <c r="F53" s="86"/>
      <c r="G53" s="85">
        <f t="shared" ref="G53:G61" si="6">+B53+C53+D53+E53</f>
        <v>0</v>
      </c>
      <c r="H53" s="86"/>
      <c r="I53" s="85">
        <f>I16-I35</f>
        <v>0</v>
      </c>
      <c r="J53" s="85">
        <f>J16-J35</f>
        <v>0</v>
      </c>
      <c r="K53" s="85">
        <f>K16-K35</f>
        <v>0</v>
      </c>
      <c r="L53" s="85">
        <f>L16-L35</f>
        <v>0</v>
      </c>
      <c r="M53" s="86"/>
      <c r="N53" s="85">
        <f t="shared" ref="N53:N61" si="7">+I53+J53+K53+L53</f>
        <v>0</v>
      </c>
      <c r="P53" s="85">
        <f>P16-P35</f>
        <v>0</v>
      </c>
      <c r="Q53" s="85">
        <f>Q16-Q35</f>
        <v>0</v>
      </c>
      <c r="R53" s="85">
        <f>R16-R35</f>
        <v>0</v>
      </c>
      <c r="T53" s="85">
        <f t="shared" ref="T53:T61" si="8">SUM(P53:S53)</f>
        <v>0</v>
      </c>
    </row>
    <row r="54" spans="1:20" ht="16.5" x14ac:dyDescent="0.45">
      <c r="A54" s="58" t="s">
        <v>181</v>
      </c>
      <c r="B54" s="85">
        <v>0.27200000000000002</v>
      </c>
      <c r="C54" s="85">
        <v>0.68500000000000005</v>
      </c>
      <c r="D54" s="85">
        <v>1.169</v>
      </c>
      <c r="E54" s="85">
        <v>5.8000000000000003E-2</v>
      </c>
      <c r="F54" s="86"/>
      <c r="G54" s="85">
        <f t="shared" si="6"/>
        <v>2.1840000000000002</v>
      </c>
      <c r="H54" s="86"/>
      <c r="I54" s="85">
        <f t="shared" ref="I54:L57" si="9">I18-I36</f>
        <v>0.83299999999999996</v>
      </c>
      <c r="J54" s="85">
        <f t="shared" si="9"/>
        <v>0.86399999999999988</v>
      </c>
      <c r="K54" s="85">
        <f t="shared" si="9"/>
        <v>0.69</v>
      </c>
      <c r="L54" s="85">
        <f t="shared" si="9"/>
        <v>0.64200000000000013</v>
      </c>
      <c r="M54" s="86"/>
      <c r="N54" s="85">
        <f t="shared" si="7"/>
        <v>3.0289999999999999</v>
      </c>
      <c r="P54" s="85">
        <f t="shared" ref="P54:Q54" si="10">P18-P36</f>
        <v>0.64</v>
      </c>
      <c r="Q54" s="85">
        <f t="shared" si="10"/>
        <v>0.81799999999999984</v>
      </c>
      <c r="R54" s="85">
        <f t="shared" ref="R54" si="11">R18-R36</f>
        <v>0.6</v>
      </c>
      <c r="T54" s="85">
        <f t="shared" si="8"/>
        <v>2.0579999999999998</v>
      </c>
    </row>
    <row r="55" spans="1:20" ht="16.5" x14ac:dyDescent="0.45">
      <c r="A55" s="58" t="s">
        <v>279</v>
      </c>
      <c r="B55" s="85">
        <v>0.161</v>
      </c>
      <c r="C55" s="85">
        <v>2.7E-2</v>
      </c>
      <c r="D55" s="85">
        <v>1.4999999999999999E-2</v>
      </c>
      <c r="E55" s="85">
        <v>3.0000000000000001E-3</v>
      </c>
      <c r="F55" s="86"/>
      <c r="G55" s="85">
        <f t="shared" si="6"/>
        <v>0.20600000000000002</v>
      </c>
      <c r="H55" s="86"/>
      <c r="I55" s="85">
        <f t="shared" si="9"/>
        <v>0</v>
      </c>
      <c r="J55" s="85">
        <f t="shared" si="9"/>
        <v>0</v>
      </c>
      <c r="K55" s="85">
        <f t="shared" si="9"/>
        <v>9.0999999999999998E-2</v>
      </c>
      <c r="L55" s="85">
        <f t="shared" si="9"/>
        <v>0.13200000000000001</v>
      </c>
      <c r="M55" s="86"/>
      <c r="N55" s="85">
        <f t="shared" si="7"/>
        <v>0.223</v>
      </c>
      <c r="P55" s="85">
        <f t="shared" ref="P55:Q55" si="12">P19-P37</f>
        <v>0.22900000000000001</v>
      </c>
      <c r="Q55" s="85">
        <f t="shared" si="12"/>
        <v>-7.4999999999999997E-2</v>
      </c>
      <c r="R55" s="85">
        <f t="shared" ref="R55" si="13">R19-R37</f>
        <v>0</v>
      </c>
      <c r="S55" s="247"/>
      <c r="T55" s="85">
        <f t="shared" si="8"/>
        <v>0.15400000000000003</v>
      </c>
    </row>
    <row r="56" spans="1:20" ht="16.5" x14ac:dyDescent="0.45">
      <c r="A56" s="58" t="s">
        <v>282</v>
      </c>
      <c r="B56" s="85">
        <v>0.83799999999999997</v>
      </c>
      <c r="C56" s="85">
        <v>-6.0999999999999999E-2</v>
      </c>
      <c r="D56" s="85">
        <v>8.2000000000000003E-2</v>
      </c>
      <c r="E56" s="85">
        <v>0.309</v>
      </c>
      <c r="F56" s="86"/>
      <c r="G56" s="85">
        <f t="shared" si="6"/>
        <v>1.1679999999999999</v>
      </c>
      <c r="H56" s="86"/>
      <c r="I56" s="85">
        <f t="shared" si="9"/>
        <v>0.10900000000000004</v>
      </c>
      <c r="J56" s="85">
        <f t="shared" si="9"/>
        <v>-5.9999999999999915E-3</v>
      </c>
      <c r="K56" s="85">
        <f t="shared" si="9"/>
        <v>0.21</v>
      </c>
      <c r="L56" s="85">
        <f t="shared" si="9"/>
        <v>0</v>
      </c>
      <c r="M56" s="86"/>
      <c r="N56" s="85">
        <f t="shared" si="7"/>
        <v>0.31300000000000006</v>
      </c>
      <c r="P56" s="85">
        <f t="shared" ref="P56:Q56" si="14">P20-P38</f>
        <v>0.22700000000000004</v>
      </c>
      <c r="Q56" s="85">
        <f t="shared" si="14"/>
        <v>0.02</v>
      </c>
      <c r="R56" s="85">
        <f t="shared" ref="R56" si="15">R20-R38</f>
        <v>0.13399999999999995</v>
      </c>
      <c r="S56" s="247"/>
      <c r="T56" s="85">
        <f t="shared" si="8"/>
        <v>0.38100000000000001</v>
      </c>
    </row>
    <row r="57" spans="1:20" ht="16.5" x14ac:dyDescent="0.45">
      <c r="A57" s="58" t="s">
        <v>238</v>
      </c>
      <c r="B57" s="85">
        <v>0</v>
      </c>
      <c r="C57" s="85">
        <v>0</v>
      </c>
      <c r="D57" s="85">
        <v>0</v>
      </c>
      <c r="E57" s="85">
        <v>0</v>
      </c>
      <c r="F57" s="86"/>
      <c r="G57" s="85">
        <f t="shared" si="6"/>
        <v>0</v>
      </c>
      <c r="H57" s="86"/>
      <c r="I57" s="85">
        <f t="shared" si="9"/>
        <v>4.5999999999999999E-2</v>
      </c>
      <c r="J57" s="85">
        <f t="shared" si="9"/>
        <v>0</v>
      </c>
      <c r="K57" s="85">
        <f t="shared" si="9"/>
        <v>0</v>
      </c>
      <c r="L57" s="85">
        <f t="shared" si="9"/>
        <v>0</v>
      </c>
      <c r="M57" s="86"/>
      <c r="N57" s="85">
        <f t="shared" si="7"/>
        <v>4.5999999999999999E-2</v>
      </c>
      <c r="P57" s="85">
        <f t="shared" ref="P57:Q57" si="16">P21-P39</f>
        <v>0</v>
      </c>
      <c r="Q57" s="85">
        <f t="shared" si="16"/>
        <v>0</v>
      </c>
      <c r="R57" s="85">
        <f t="shared" ref="R57" si="17">R21-R39</f>
        <v>0</v>
      </c>
      <c r="S57" s="247"/>
      <c r="T57" s="85">
        <f t="shared" si="8"/>
        <v>0</v>
      </c>
    </row>
    <row r="58" spans="1:20" ht="16.5" x14ac:dyDescent="0.45">
      <c r="A58" s="58" t="s">
        <v>244</v>
      </c>
      <c r="B58" s="85">
        <v>0</v>
      </c>
      <c r="C58" s="85">
        <v>0</v>
      </c>
      <c r="D58" s="85">
        <v>0.14499999999999999</v>
      </c>
      <c r="E58" s="85">
        <v>0</v>
      </c>
      <c r="F58" s="86"/>
      <c r="G58" s="85">
        <f t="shared" si="6"/>
        <v>0.14499999999999999</v>
      </c>
      <c r="H58" s="86"/>
      <c r="I58" s="85">
        <v>0</v>
      </c>
      <c r="J58" s="85">
        <v>0</v>
      </c>
      <c r="K58" s="85">
        <v>0</v>
      </c>
      <c r="L58" s="85">
        <v>0</v>
      </c>
      <c r="M58" s="86"/>
      <c r="N58" s="85">
        <f t="shared" si="7"/>
        <v>0</v>
      </c>
      <c r="P58" s="85">
        <v>0</v>
      </c>
      <c r="Q58" s="85">
        <v>0</v>
      </c>
      <c r="R58" s="85">
        <v>0</v>
      </c>
      <c r="S58" s="247"/>
      <c r="T58" s="85">
        <f t="shared" si="8"/>
        <v>0</v>
      </c>
    </row>
    <row r="59" spans="1:20" ht="16.5" x14ac:dyDescent="0.45">
      <c r="A59" s="55" t="s">
        <v>182</v>
      </c>
      <c r="B59" s="85">
        <v>1.2010000000000001</v>
      </c>
      <c r="C59" s="85">
        <v>0.21099999999999999</v>
      </c>
      <c r="D59" s="85">
        <v>1.101</v>
      </c>
      <c r="E59" s="85">
        <v>1.1890000000000001</v>
      </c>
      <c r="F59" s="86"/>
      <c r="G59" s="85">
        <f t="shared" si="6"/>
        <v>3.702</v>
      </c>
      <c r="H59" s="86"/>
      <c r="I59" s="85">
        <f t="shared" ref="I59:L60" si="18">I23-I41</f>
        <v>0</v>
      </c>
      <c r="J59" s="85">
        <f t="shared" si="18"/>
        <v>0</v>
      </c>
      <c r="K59" s="85">
        <f t="shared" si="18"/>
        <v>0</v>
      </c>
      <c r="L59" s="85">
        <f t="shared" si="18"/>
        <v>0</v>
      </c>
      <c r="M59" s="86"/>
      <c r="N59" s="85">
        <f t="shared" si="7"/>
        <v>0</v>
      </c>
      <c r="P59" s="85">
        <f t="shared" ref="P59:Q59" si="19">P23-P41</f>
        <v>0</v>
      </c>
      <c r="Q59" s="85">
        <f t="shared" si="19"/>
        <v>0</v>
      </c>
      <c r="R59" s="85">
        <f t="shared" ref="R59" si="20">R23-R41</f>
        <v>0</v>
      </c>
      <c r="S59" s="247"/>
      <c r="T59" s="85">
        <f t="shared" si="8"/>
        <v>0</v>
      </c>
    </row>
    <row r="60" spans="1:20" ht="16.5" x14ac:dyDescent="0.45">
      <c r="A60" s="55" t="s">
        <v>183</v>
      </c>
      <c r="B60" s="82">
        <v>-0.75</v>
      </c>
      <c r="C60" s="82">
        <v>0.157</v>
      </c>
      <c r="D60" s="82">
        <v>-0.23200000000000001</v>
      </c>
      <c r="E60" s="82">
        <v>-0.58399999999999996</v>
      </c>
      <c r="F60" s="86"/>
      <c r="G60" s="82">
        <f t="shared" si="6"/>
        <v>-1.4089999999999998</v>
      </c>
      <c r="H60" s="86"/>
      <c r="I60" s="82">
        <f t="shared" si="18"/>
        <v>0</v>
      </c>
      <c r="J60" s="82">
        <f t="shared" si="18"/>
        <v>0</v>
      </c>
      <c r="K60" s="82">
        <f t="shared" si="18"/>
        <v>0</v>
      </c>
      <c r="L60" s="82">
        <f t="shared" si="18"/>
        <v>0</v>
      </c>
      <c r="M60" s="86"/>
      <c r="N60" s="82">
        <f t="shared" si="7"/>
        <v>0</v>
      </c>
      <c r="P60" s="82">
        <f t="shared" ref="P60:Q60" si="21">P24-P42</f>
        <v>0</v>
      </c>
      <c r="Q60" s="82">
        <f t="shared" si="21"/>
        <v>0</v>
      </c>
      <c r="R60" s="82">
        <f t="shared" ref="R60" si="22">R24-R42</f>
        <v>0</v>
      </c>
      <c r="S60" s="247"/>
      <c r="T60" s="82">
        <f t="shared" si="8"/>
        <v>0</v>
      </c>
    </row>
    <row r="61" spans="1:20" ht="16.899999999999999" x14ac:dyDescent="0.5">
      <c r="A61" s="51" t="s">
        <v>184</v>
      </c>
      <c r="B61" s="62">
        <f>+B50+SUM(B53:B60)</f>
        <v>26.898000000000003</v>
      </c>
      <c r="C61" s="62">
        <f>+C50+SUM(C53:C60)</f>
        <v>36.056000000000004</v>
      </c>
      <c r="D61" s="62">
        <f>+D50+SUM(D53:D60)</f>
        <v>32.829000000000008</v>
      </c>
      <c r="E61" s="62">
        <f>+E50+SUM(E53:E60)</f>
        <v>34.290999999999997</v>
      </c>
      <c r="F61" s="137"/>
      <c r="G61" s="62">
        <f t="shared" si="6"/>
        <v>130.07400000000001</v>
      </c>
      <c r="H61" s="137"/>
      <c r="I61" s="62">
        <f>+I50+SUM(I53:I60)</f>
        <v>27.559000000000001</v>
      </c>
      <c r="J61" s="62">
        <f>+J50+SUM(J53:J60)</f>
        <v>28.791999999999994</v>
      </c>
      <c r="K61" s="62">
        <f>+K50+SUM(K53:K60)</f>
        <v>36.475999999999999</v>
      </c>
      <c r="L61" s="62">
        <f>+L50+SUM(L53:L60)</f>
        <v>27.937999999999995</v>
      </c>
      <c r="M61" s="137"/>
      <c r="N61" s="62">
        <f t="shared" si="7"/>
        <v>120.76499999999999</v>
      </c>
      <c r="P61" s="62">
        <f>+P50+SUM(P53:P60)</f>
        <v>27.567000000000004</v>
      </c>
      <c r="Q61" s="62">
        <f>+Q50+SUM(Q53:Q60)</f>
        <v>26.522000000000006</v>
      </c>
      <c r="R61" s="62">
        <f>+R50+SUM(R53:R60)</f>
        <v>23.692</v>
      </c>
      <c r="S61" s="247"/>
      <c r="T61" s="62">
        <f t="shared" si="8"/>
        <v>77.781000000000006</v>
      </c>
    </row>
    <row r="62" spans="1:20" ht="16.899999999999999" x14ac:dyDescent="0.5">
      <c r="A62" s="51" t="s">
        <v>185</v>
      </c>
      <c r="B62" s="83">
        <f>B61/'Revenue Metrics'!C25</f>
        <v>0.47359802799542217</v>
      </c>
      <c r="C62" s="83">
        <f>C61/'Revenue Metrics'!D25</f>
        <v>0.55630814805671702</v>
      </c>
      <c r="D62" s="83">
        <f>D61/'Revenue Metrics'!E25</f>
        <v>0.50514702488113383</v>
      </c>
      <c r="E62" s="83">
        <f>E61/'Revenue Metrics'!F25</f>
        <v>0.50408667274277486</v>
      </c>
      <c r="F62" s="162"/>
      <c r="G62" s="83">
        <f>G61/'Revenue Metrics'!H25</f>
        <v>0.51084937338732173</v>
      </c>
      <c r="H62" s="162"/>
      <c r="I62" s="83">
        <f>I61/'Revenue Metrics'!J25</f>
        <v>0.48819330038440417</v>
      </c>
      <c r="J62" s="83">
        <f>J61/'Revenue Metrics'!K25</f>
        <v>0.49268467975153574</v>
      </c>
      <c r="K62" s="83">
        <f>K61/'Revenue Metrics'!L25</f>
        <v>0.55259131330576128</v>
      </c>
      <c r="L62" s="83">
        <f>L61/'Revenue Metrics'!M25</f>
        <v>0.46193019295315879</v>
      </c>
      <c r="M62" s="162"/>
      <c r="N62" s="83">
        <f>N61/'Revenue Metrics'!O25</f>
        <v>0.50031071339796163</v>
      </c>
      <c r="P62" s="83">
        <f>P61/'Revenue Metrics'!Q25</f>
        <v>0.47091682468098195</v>
      </c>
      <c r="Q62" s="83">
        <f>Q61/'Revenue Metrics'!R25</f>
        <v>0.46975681467967911</v>
      </c>
      <c r="R62" s="83">
        <f>R61/'Revenue Metrics'!S25</f>
        <v>0.46481332522414703</v>
      </c>
      <c r="T62" s="83">
        <f>T61/'Revenue Metrics'!U25</f>
        <v>0.46864775952135646</v>
      </c>
    </row>
  </sheetData>
  <mergeCells count="3">
    <mergeCell ref="B3:E3"/>
    <mergeCell ref="I3:L3"/>
    <mergeCell ref="P3:R3"/>
  </mergeCells>
  <pageMargins left="0.25" right="0.25" top="0.75" bottom="0.75" header="0.3" footer="0.3"/>
  <pageSetup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1D5D-0268-40B3-A662-41D0183B3BED}">
  <sheetPr>
    <tabColor rgb="FF0079FF"/>
    <pageSetUpPr fitToPage="1"/>
  </sheetPr>
  <dimension ref="A1:T129"/>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66.3984375" style="67" customWidth="1"/>
    <col min="2" max="5" width="20.73046875" style="44" hidden="1" customWidth="1" outlineLevel="1"/>
    <col min="6" max="6" width="2" style="44" hidden="1" customWidth="1" outlineLevel="1"/>
    <col min="7" max="7" width="20.73046875" style="44" customWidth="1" collapsed="1"/>
    <col min="8" max="8" width="2" style="44" customWidth="1"/>
    <col min="9" max="12" width="20.73046875" style="44" hidden="1" customWidth="1" outlineLevel="1"/>
    <col min="13" max="13" width="2" style="44" hidden="1" customWidth="1" outlineLevel="1"/>
    <col min="14" max="14" width="20.73046875" style="44" customWidth="1" collapsed="1"/>
    <col min="15" max="15" width="2.1328125" style="67" customWidth="1"/>
    <col min="16" max="18" width="21.3984375" style="44" customWidth="1"/>
    <col min="19" max="19" width="1.265625" style="67" customWidth="1"/>
    <col min="20" max="20" width="21.73046875" style="44" customWidth="1"/>
    <col min="21" max="16384" width="9.1328125" style="67"/>
  </cols>
  <sheetData>
    <row r="1" spans="1:20" s="44" customFormat="1" ht="17.649999999999999" x14ac:dyDescent="0.5">
      <c r="A1" s="5" t="s">
        <v>5</v>
      </c>
    </row>
    <row r="2" spans="1:20" s="44" customFormat="1" x14ac:dyDescent="0.3">
      <c r="A2" s="45"/>
      <c r="B2" s="45"/>
      <c r="C2" s="45"/>
      <c r="D2" s="45"/>
      <c r="E2" s="45"/>
      <c r="F2" s="45"/>
      <c r="G2" s="45"/>
      <c r="H2" s="45"/>
      <c r="I2" s="45"/>
      <c r="J2" s="45"/>
      <c r="K2" s="45"/>
      <c r="L2" s="45"/>
      <c r="M2" s="45"/>
      <c r="N2" s="45"/>
      <c r="P2" s="45"/>
      <c r="Q2" s="45"/>
      <c r="R2" s="45"/>
      <c r="T2" s="45"/>
    </row>
    <row r="3" spans="1:20" s="7" customFormat="1" ht="30" customHeight="1" x14ac:dyDescent="0.4">
      <c r="A3" s="48"/>
      <c r="B3" s="319" t="s">
        <v>10</v>
      </c>
      <c r="C3" s="319"/>
      <c r="D3" s="319"/>
      <c r="E3" s="319"/>
      <c r="F3" s="147"/>
      <c r="G3" s="47" t="s">
        <v>247</v>
      </c>
      <c r="H3" s="147"/>
      <c r="I3" s="319" t="s">
        <v>10</v>
      </c>
      <c r="J3" s="319"/>
      <c r="K3" s="319"/>
      <c r="L3" s="319"/>
      <c r="M3" s="147"/>
      <c r="N3" s="47" t="s">
        <v>247</v>
      </c>
      <c r="O3" s="70"/>
      <c r="P3" s="319" t="s">
        <v>10</v>
      </c>
      <c r="Q3" s="319"/>
      <c r="R3" s="319"/>
      <c r="T3" s="47" t="s">
        <v>289</v>
      </c>
    </row>
    <row r="4" spans="1:20" s="7" customFormat="1" ht="30" customHeight="1" x14ac:dyDescent="0.4">
      <c r="A4" s="48" t="s">
        <v>13</v>
      </c>
      <c r="B4" s="49" t="s">
        <v>43</v>
      </c>
      <c r="C4" s="49" t="s">
        <v>229</v>
      </c>
      <c r="D4" s="49" t="s">
        <v>241</v>
      </c>
      <c r="E4" s="49" t="s">
        <v>44</v>
      </c>
      <c r="F4" s="148"/>
      <c r="G4" s="49" t="s">
        <v>44</v>
      </c>
      <c r="H4" s="148"/>
      <c r="I4" s="49" t="s">
        <v>103</v>
      </c>
      <c r="J4" s="49" t="s">
        <v>230</v>
      </c>
      <c r="K4" s="49" t="s">
        <v>242</v>
      </c>
      <c r="L4" s="49" t="s">
        <v>246</v>
      </c>
      <c r="M4" s="148"/>
      <c r="N4" s="49" t="s">
        <v>246</v>
      </c>
      <c r="O4" s="70"/>
      <c r="P4" s="49" t="s">
        <v>267</v>
      </c>
      <c r="Q4" s="49" t="s">
        <v>277</v>
      </c>
      <c r="R4" s="49" t="s">
        <v>288</v>
      </c>
      <c r="T4" s="49" t="s">
        <v>288</v>
      </c>
    </row>
    <row r="5" spans="1:20" s="58" customFormat="1" ht="16.899999999999999" x14ac:dyDescent="0.5">
      <c r="A5" s="77"/>
    </row>
    <row r="6" spans="1:20" s="58" customFormat="1" ht="16.899999999999999" x14ac:dyDescent="0.5">
      <c r="A6" s="77" t="s">
        <v>80</v>
      </c>
      <c r="N6" s="238"/>
      <c r="P6" s="238"/>
      <c r="Q6" s="238"/>
      <c r="R6" s="238"/>
      <c r="T6" s="238"/>
    </row>
    <row r="7" spans="1:20" s="58" customFormat="1" ht="16.899999999999999" x14ac:dyDescent="0.5">
      <c r="A7" s="51" t="s">
        <v>81</v>
      </c>
      <c r="B7" s="62">
        <v>32.411999999999999</v>
      </c>
      <c r="C7" s="62">
        <v>30.148</v>
      </c>
      <c r="D7" s="62">
        <v>33.292999999999999</v>
      </c>
      <c r="E7" s="62">
        <v>32.298999999999999</v>
      </c>
      <c r="F7" s="137"/>
      <c r="G7" s="62">
        <f>+B7+C7+D7+E7</f>
        <v>128.15200000000002</v>
      </c>
      <c r="H7" s="137"/>
      <c r="I7" s="62">
        <v>29.148</v>
      </c>
      <c r="J7" s="62">
        <v>31.792000000000002</v>
      </c>
      <c r="K7" s="62">
        <v>31.029</v>
      </c>
      <c r="L7" s="62">
        <v>31.321999999999999</v>
      </c>
      <c r="M7" s="137"/>
      <c r="N7" s="62">
        <f>+I7+J7+K7+L7</f>
        <v>123.291</v>
      </c>
      <c r="P7" s="62">
        <v>30.946999999999999</v>
      </c>
      <c r="Q7" s="62">
        <v>33.956000000000003</v>
      </c>
      <c r="R7" s="62">
        <v>32.941000000000003</v>
      </c>
      <c r="T7" s="62">
        <f>SUM(P7:S7)</f>
        <v>97.844000000000008</v>
      </c>
    </row>
    <row r="8" spans="1:20" s="58" customFormat="1" ht="16.899999999999999" x14ac:dyDescent="0.5">
      <c r="A8" s="51" t="s">
        <v>82</v>
      </c>
      <c r="B8" s="87">
        <v>0.17399999999999999</v>
      </c>
      <c r="C8" s="87">
        <v>0.14799999999999999</v>
      </c>
      <c r="D8" s="87">
        <v>0.155</v>
      </c>
      <c r="E8" s="87">
        <v>0.14399999999999999</v>
      </c>
      <c r="F8" s="164"/>
      <c r="G8" s="87">
        <v>0.154</v>
      </c>
      <c r="H8" s="164"/>
      <c r="I8" s="87">
        <v>0.14499999999999999</v>
      </c>
      <c r="J8" s="87">
        <v>0.14799999999999999</v>
      </c>
      <c r="K8" s="87">
        <v>0.13800000000000001</v>
      </c>
      <c r="L8" s="87">
        <v>0.13400000000000001</v>
      </c>
      <c r="M8" s="164"/>
      <c r="N8" s="87">
        <v>0.14099999999999999</v>
      </c>
      <c r="P8" s="87">
        <v>0.14199999999999999</v>
      </c>
      <c r="Q8" s="87">
        <v>0.152</v>
      </c>
      <c r="R8" s="87">
        <v>0.14599999999999999</v>
      </c>
      <c r="T8" s="87">
        <v>0.14699999999999999</v>
      </c>
    </row>
    <row r="9" spans="1:20" s="58" customFormat="1" ht="16.5" x14ac:dyDescent="0.45"/>
    <row r="10" spans="1:20" s="58" customFormat="1" ht="16.5" x14ac:dyDescent="0.45">
      <c r="A10" s="55" t="s">
        <v>88</v>
      </c>
      <c r="B10" s="56">
        <v>-1.173</v>
      </c>
      <c r="C10" s="56">
        <v>-1.496</v>
      </c>
      <c r="D10" s="56">
        <v>-1.2410000000000001</v>
      </c>
      <c r="E10" s="56">
        <v>-8.0000000000000002E-3</v>
      </c>
      <c r="F10" s="149"/>
      <c r="G10" s="56">
        <f t="shared" ref="G10:G17" si="0">+B10+C10+D10+E10</f>
        <v>-3.9180000000000001</v>
      </c>
      <c r="H10" s="149"/>
      <c r="I10" s="56">
        <v>-1.7729999999999999</v>
      </c>
      <c r="J10" s="56">
        <v>-2.0270000000000001</v>
      </c>
      <c r="K10" s="56">
        <v>-1.9490000000000001</v>
      </c>
      <c r="L10" s="56">
        <v>-1.8160000000000001</v>
      </c>
      <c r="M10" s="149"/>
      <c r="N10" s="56">
        <f t="shared" ref="N10:N17" si="1">+I10+J10+K10+L10</f>
        <v>-7.5649999999999995</v>
      </c>
      <c r="P10" s="56">
        <v>-2.419</v>
      </c>
      <c r="Q10" s="56">
        <v>-4.4189999999999996</v>
      </c>
      <c r="R10" s="56">
        <v>-3.5329999999999999</v>
      </c>
      <c r="T10" s="56">
        <f>SUM(P10:S10)</f>
        <v>-10.370999999999999</v>
      </c>
    </row>
    <row r="11" spans="1:20" s="58" customFormat="1" ht="16.5" x14ac:dyDescent="0.45">
      <c r="A11" s="55" t="s">
        <v>113</v>
      </c>
      <c r="B11" s="56">
        <v>-0.20100000000000001</v>
      </c>
      <c r="C11" s="56">
        <v>-0.02</v>
      </c>
      <c r="D11" s="56">
        <v>-2.8000000000000001E-2</v>
      </c>
      <c r="E11" s="56">
        <v>-2.5999999999999999E-2</v>
      </c>
      <c r="F11" s="149"/>
      <c r="G11" s="56">
        <f t="shared" si="0"/>
        <v>-0.27500000000000002</v>
      </c>
      <c r="H11" s="149"/>
      <c r="I11" s="56">
        <v>-2.4E-2</v>
      </c>
      <c r="J11" s="56">
        <v>-5.6000000000000001E-2</v>
      </c>
      <c r="K11" s="56">
        <v>-0.192</v>
      </c>
      <c r="L11" s="56">
        <v>-0.24299999999999999</v>
      </c>
      <c r="M11" s="149"/>
      <c r="N11" s="56">
        <f t="shared" si="1"/>
        <v>-0.51500000000000001</v>
      </c>
      <c r="P11" s="56">
        <v>-0.19800000000000001</v>
      </c>
      <c r="Q11" s="56">
        <v>0</v>
      </c>
      <c r="R11" s="56">
        <v>0</v>
      </c>
      <c r="T11" s="56">
        <f>SUM(P11:S11)</f>
        <v>-0.19800000000000001</v>
      </c>
    </row>
    <row r="12" spans="1:20" s="58" customFormat="1" ht="16.5" x14ac:dyDescent="0.45">
      <c r="A12" s="55" t="s">
        <v>89</v>
      </c>
      <c r="B12" s="85">
        <v>-0.92700000000000005</v>
      </c>
      <c r="C12" s="85">
        <v>-0.21299999999999999</v>
      </c>
      <c r="D12" s="85">
        <v>-8.9999999999999993E-3</v>
      </c>
      <c r="E12" s="85">
        <v>-0.22700000000000001</v>
      </c>
      <c r="F12" s="86"/>
      <c r="G12" s="85">
        <f t="shared" si="0"/>
        <v>-1.3760000000000001</v>
      </c>
      <c r="H12" s="86"/>
      <c r="I12" s="85">
        <v>-0.184</v>
      </c>
      <c r="J12" s="85">
        <v>-0.129</v>
      </c>
      <c r="K12" s="85">
        <v>-9.7000000000000003E-2</v>
      </c>
      <c r="L12" s="85">
        <f>0</f>
        <v>0</v>
      </c>
      <c r="M12" s="86"/>
      <c r="N12" s="85">
        <f t="shared" si="1"/>
        <v>-0.41000000000000003</v>
      </c>
      <c r="P12" s="85">
        <v>-0.13700000000000001</v>
      </c>
      <c r="Q12" s="85">
        <v>0</v>
      </c>
      <c r="R12" s="85">
        <v>-0.50900000000000001</v>
      </c>
      <c r="T12" s="85">
        <f>SUM(P12:S12)</f>
        <v>-0.64600000000000002</v>
      </c>
    </row>
    <row r="13" spans="1:20" s="58" customFormat="1" ht="16.5" x14ac:dyDescent="0.45">
      <c r="A13" s="55" t="s">
        <v>236</v>
      </c>
      <c r="B13" s="85">
        <v>0</v>
      </c>
      <c r="C13" s="85">
        <v>0</v>
      </c>
      <c r="D13" s="85">
        <v>0</v>
      </c>
      <c r="E13" s="85">
        <v>0</v>
      </c>
      <c r="F13" s="86"/>
      <c r="G13" s="85">
        <f t="shared" si="0"/>
        <v>0</v>
      </c>
      <c r="H13" s="86"/>
      <c r="I13" s="85">
        <v>-0.45700000000000002</v>
      </c>
      <c r="J13" s="85">
        <v>-0.01</v>
      </c>
      <c r="K13" s="85">
        <v>0</v>
      </c>
      <c r="L13" s="85">
        <v>0</v>
      </c>
      <c r="M13" s="86"/>
      <c r="N13" s="85">
        <f t="shared" si="1"/>
        <v>-0.46700000000000003</v>
      </c>
      <c r="P13" s="85">
        <v>0</v>
      </c>
      <c r="Q13" s="85">
        <v>0</v>
      </c>
      <c r="R13" s="85">
        <v>0</v>
      </c>
      <c r="T13" s="85">
        <f>SUM(P13:S13)</f>
        <v>0</v>
      </c>
    </row>
    <row r="14" spans="1:20" s="58" customFormat="1" ht="16.5" x14ac:dyDescent="0.45">
      <c r="A14" s="55" t="s">
        <v>152</v>
      </c>
      <c r="B14" s="85">
        <v>0</v>
      </c>
      <c r="C14" s="85">
        <v>0</v>
      </c>
      <c r="D14" s="85">
        <v>-4.2999999999999997E-2</v>
      </c>
      <c r="E14" s="85">
        <v>-1E-3</v>
      </c>
      <c r="F14" s="86"/>
      <c r="G14" s="85">
        <f t="shared" si="0"/>
        <v>-4.3999999999999997E-2</v>
      </c>
      <c r="H14" s="86"/>
      <c r="I14" s="85">
        <v>0</v>
      </c>
      <c r="J14" s="85">
        <v>0</v>
      </c>
      <c r="K14" s="85">
        <v>0</v>
      </c>
      <c r="L14" s="85">
        <v>0</v>
      </c>
      <c r="M14" s="86"/>
      <c r="N14" s="85">
        <f t="shared" si="1"/>
        <v>0</v>
      </c>
      <c r="P14" s="85">
        <v>-2.5000000000000001E-2</v>
      </c>
      <c r="Q14" s="85">
        <v>-2.5000000000000001E-2</v>
      </c>
      <c r="R14" s="85">
        <v>-1.7000000000000001E-2</v>
      </c>
      <c r="T14" s="85">
        <f>SUM(P14:S14)</f>
        <v>-6.7000000000000004E-2</v>
      </c>
    </row>
    <row r="15" spans="1:20" s="58" customFormat="1" ht="16.5" x14ac:dyDescent="0.45">
      <c r="A15" s="55" t="s">
        <v>153</v>
      </c>
      <c r="B15" s="85">
        <v>-4.5209999999999999</v>
      </c>
      <c r="C15" s="85">
        <v>-3.9729999999999999</v>
      </c>
      <c r="D15" s="85">
        <v>-4.242</v>
      </c>
      <c r="E15" s="85">
        <v>-4.1929999999999996</v>
      </c>
      <c r="F15" s="86"/>
      <c r="G15" s="85">
        <f t="shared" si="0"/>
        <v>-16.929000000000002</v>
      </c>
      <c r="H15" s="86"/>
      <c r="I15" s="85">
        <v>0</v>
      </c>
      <c r="J15" s="85">
        <v>0</v>
      </c>
      <c r="K15" s="85">
        <v>0</v>
      </c>
      <c r="L15" s="85">
        <v>0</v>
      </c>
      <c r="M15" s="86"/>
      <c r="N15" s="85">
        <f t="shared" si="1"/>
        <v>0</v>
      </c>
      <c r="P15" s="85">
        <v>0</v>
      </c>
      <c r="Q15" s="85">
        <v>0</v>
      </c>
      <c r="R15" s="85">
        <v>0</v>
      </c>
      <c r="T15" s="85">
        <v>0</v>
      </c>
    </row>
    <row r="16" spans="1:20" s="58" customFormat="1" ht="16.5" x14ac:dyDescent="0.45">
      <c r="A16" s="55" t="s">
        <v>154</v>
      </c>
      <c r="B16" s="82">
        <v>2.202</v>
      </c>
      <c r="C16" s="82">
        <v>1.829</v>
      </c>
      <c r="D16" s="82">
        <v>1.494</v>
      </c>
      <c r="E16" s="82">
        <v>1.911</v>
      </c>
      <c r="F16" s="86"/>
      <c r="G16" s="82">
        <f t="shared" si="0"/>
        <v>7.4359999999999999</v>
      </c>
      <c r="H16" s="86"/>
      <c r="I16" s="82">
        <v>0</v>
      </c>
      <c r="J16" s="82">
        <v>0</v>
      </c>
      <c r="K16" s="82">
        <v>0</v>
      </c>
      <c r="L16" s="82">
        <v>0</v>
      </c>
      <c r="M16" s="86"/>
      <c r="N16" s="82">
        <f t="shared" si="1"/>
        <v>0</v>
      </c>
      <c r="P16" s="82">
        <v>0</v>
      </c>
      <c r="Q16" s="82">
        <v>0</v>
      </c>
      <c r="R16" s="82">
        <v>0</v>
      </c>
      <c r="T16" s="82">
        <v>0</v>
      </c>
    </row>
    <row r="17" spans="1:20" s="58" customFormat="1" ht="16.899999999999999" x14ac:dyDescent="0.5">
      <c r="A17" s="88" t="s">
        <v>155</v>
      </c>
      <c r="B17" s="89">
        <f>SUM(B10:B16)+B7</f>
        <v>27.791999999999998</v>
      </c>
      <c r="C17" s="89">
        <f>SUM(C10:C16)+C7</f>
        <v>26.274999999999999</v>
      </c>
      <c r="D17" s="89">
        <f>SUM(D10:D16)+D7</f>
        <v>29.224</v>
      </c>
      <c r="E17" s="89">
        <f>SUM(E10:E16)+E7</f>
        <v>29.754999999999999</v>
      </c>
      <c r="F17" s="165"/>
      <c r="G17" s="89">
        <f t="shared" si="0"/>
        <v>113.04599999999999</v>
      </c>
      <c r="H17" s="165"/>
      <c r="I17" s="89">
        <f>SUM(I10:I16)+I7</f>
        <v>26.71</v>
      </c>
      <c r="J17" s="89">
        <f>SUM(J10:J16)+J7</f>
        <v>29.57</v>
      </c>
      <c r="K17" s="89">
        <f>SUM(K10:K16)+K7</f>
        <v>28.791</v>
      </c>
      <c r="L17" s="89">
        <f>SUM(L10:L16)+L7</f>
        <v>29.262999999999998</v>
      </c>
      <c r="M17" s="165"/>
      <c r="N17" s="89">
        <f t="shared" si="1"/>
        <v>114.334</v>
      </c>
      <c r="P17" s="89">
        <f>SUM(P10:P16)+P7</f>
        <v>28.167999999999999</v>
      </c>
      <c r="Q17" s="89">
        <f>SUM(Q10:Q16)+Q7</f>
        <v>29.512000000000004</v>
      </c>
      <c r="R17" s="89">
        <f>SUM(R10:R16)+R7</f>
        <v>28.882000000000001</v>
      </c>
      <c r="T17" s="89">
        <f>SUM(P17:S17)</f>
        <v>86.562000000000012</v>
      </c>
    </row>
    <row r="18" spans="1:20" s="58" customFormat="1" ht="16.899999999999999" x14ac:dyDescent="0.5">
      <c r="A18" s="51" t="s">
        <v>83</v>
      </c>
      <c r="B18" s="87">
        <v>0.14699999999999999</v>
      </c>
      <c r="C18" s="87">
        <v>0.127</v>
      </c>
      <c r="D18" s="87">
        <v>0.13400000000000001</v>
      </c>
      <c r="E18" s="87">
        <v>0.13100000000000001</v>
      </c>
      <c r="F18" s="164"/>
      <c r="G18" s="87">
        <v>0.13400000000000001</v>
      </c>
      <c r="H18" s="164"/>
      <c r="I18" s="87">
        <v>0.13200000000000001</v>
      </c>
      <c r="J18" s="87">
        <v>0.13700000000000001</v>
      </c>
      <c r="K18" s="87">
        <v>0.127</v>
      </c>
      <c r="L18" s="87">
        <v>0.124</v>
      </c>
      <c r="M18" s="164"/>
      <c r="N18" s="87">
        <v>0.13</v>
      </c>
      <c r="P18" s="87">
        <v>0.128</v>
      </c>
      <c r="Q18" s="87">
        <v>0.13200000000000001</v>
      </c>
      <c r="R18" s="87">
        <v>0.128</v>
      </c>
      <c r="T18" s="87">
        <v>0.129</v>
      </c>
    </row>
    <row r="19" spans="1:20" s="58" customFormat="1" ht="16.899999999999999" x14ac:dyDescent="0.5">
      <c r="A19" s="88"/>
      <c r="B19" s="62"/>
      <c r="C19" s="62"/>
      <c r="D19" s="62"/>
      <c r="E19" s="62"/>
      <c r="F19" s="137"/>
      <c r="G19" s="62"/>
      <c r="H19" s="137"/>
      <c r="I19" s="62"/>
      <c r="J19" s="62"/>
      <c r="K19" s="62"/>
      <c r="L19" s="62"/>
      <c r="M19" s="137"/>
      <c r="N19" s="62"/>
      <c r="P19" s="62"/>
      <c r="Q19" s="62"/>
      <c r="R19" s="62"/>
      <c r="T19" s="62"/>
    </row>
    <row r="20" spans="1:20" s="58" customFormat="1" ht="16.5" x14ac:dyDescent="0.45"/>
    <row r="21" spans="1:20" s="58" customFormat="1" ht="16.899999999999999" x14ac:dyDescent="0.5">
      <c r="A21" s="77" t="s">
        <v>84</v>
      </c>
    </row>
    <row r="22" spans="1:20" s="58" customFormat="1" ht="16.899999999999999" x14ac:dyDescent="0.5">
      <c r="A22" s="88" t="s">
        <v>85</v>
      </c>
      <c r="B22" s="62">
        <v>76.826999999999998</v>
      </c>
      <c r="C22" s="62">
        <v>77.739000000000004</v>
      </c>
      <c r="D22" s="62">
        <v>80.167000000000002</v>
      </c>
      <c r="E22" s="62">
        <v>92.611999999999995</v>
      </c>
      <c r="F22" s="137"/>
      <c r="G22" s="62">
        <f>+B22+C22+D22+E22</f>
        <v>327.34500000000003</v>
      </c>
      <c r="H22" s="153"/>
      <c r="I22" s="62">
        <v>87.646000000000001</v>
      </c>
      <c r="J22" s="62">
        <v>91.376000000000005</v>
      </c>
      <c r="K22" s="62">
        <v>89.778000000000006</v>
      </c>
      <c r="L22" s="62">
        <v>108.008</v>
      </c>
      <c r="M22" s="153"/>
      <c r="N22" s="62">
        <f>+I22+J22+K22+L22</f>
        <v>376.80799999999999</v>
      </c>
      <c r="P22" s="62">
        <v>102.88200000000001</v>
      </c>
      <c r="Q22" s="62">
        <v>105.705</v>
      </c>
      <c r="R22" s="62">
        <v>93.757000000000005</v>
      </c>
      <c r="T22" s="62">
        <f>SUM(P22:S22)</f>
        <v>302.34399999999999</v>
      </c>
    </row>
    <row r="23" spans="1:20" s="58" customFormat="1" ht="16.899999999999999" x14ac:dyDescent="0.5">
      <c r="A23" s="51" t="s">
        <v>82</v>
      </c>
      <c r="B23" s="87">
        <v>0.41299999999999998</v>
      </c>
      <c r="C23" s="87">
        <v>0.38100000000000001</v>
      </c>
      <c r="D23" s="87">
        <v>0.372</v>
      </c>
      <c r="E23" s="87">
        <v>0.41099999999999998</v>
      </c>
      <c r="F23" s="164"/>
      <c r="G23" s="87">
        <v>0.39400000000000002</v>
      </c>
      <c r="H23" s="164"/>
      <c r="I23" s="87">
        <v>0.436</v>
      </c>
      <c r="J23" s="87">
        <v>0.42599999999999999</v>
      </c>
      <c r="K23" s="87">
        <v>0.39900000000000002</v>
      </c>
      <c r="L23" s="87">
        <v>0.46100000000000002</v>
      </c>
      <c r="M23" s="164"/>
      <c r="N23" s="87">
        <v>0.43099999999999999</v>
      </c>
      <c r="P23" s="87">
        <v>0.47199999999999998</v>
      </c>
      <c r="Q23" s="87">
        <v>0.47399999999999998</v>
      </c>
      <c r="R23" s="87">
        <v>0.41599999999999998</v>
      </c>
      <c r="T23" s="87">
        <v>0.45400000000000001</v>
      </c>
    </row>
    <row r="24" spans="1:20" s="58" customFormat="1" ht="16.5" x14ac:dyDescent="0.45">
      <c r="B24" s="90"/>
      <c r="C24" s="90"/>
      <c r="D24" s="90"/>
      <c r="E24" s="90"/>
      <c r="F24" s="90"/>
      <c r="G24" s="90"/>
      <c r="H24" s="90"/>
      <c r="I24" s="90"/>
      <c r="J24" s="90"/>
      <c r="K24" s="90"/>
      <c r="L24" s="90"/>
      <c r="M24" s="90"/>
      <c r="N24" s="90"/>
      <c r="P24" s="90"/>
      <c r="Q24" s="90"/>
      <c r="R24" s="90"/>
      <c r="T24" s="90"/>
    </row>
    <row r="25" spans="1:20" s="58" customFormat="1" ht="16.5" x14ac:dyDescent="0.45">
      <c r="A25" s="55" t="s">
        <v>88</v>
      </c>
      <c r="B25" s="56">
        <v>-8.968</v>
      </c>
      <c r="C25" s="56">
        <v>-10.676</v>
      </c>
      <c r="D25" s="56">
        <v>-12.535</v>
      </c>
      <c r="E25" s="56">
        <v>-5.81</v>
      </c>
      <c r="F25" s="149"/>
      <c r="G25" s="56">
        <f t="shared" ref="G25:G35" si="2">+B25+C25+D25+E25</f>
        <v>-37.989000000000004</v>
      </c>
      <c r="H25" s="149"/>
      <c r="I25" s="56">
        <v>-13.366</v>
      </c>
      <c r="J25" s="56">
        <v>-14.64</v>
      </c>
      <c r="K25" s="56">
        <v>-13.416</v>
      </c>
      <c r="L25" s="56">
        <v>-11.25</v>
      </c>
      <c r="M25" s="149"/>
      <c r="N25" s="56">
        <f t="shared" ref="N25:N35" si="3">+I25+J25+K25+L25</f>
        <v>-52.671999999999997</v>
      </c>
      <c r="P25" s="56">
        <v>-14.785</v>
      </c>
      <c r="Q25" s="56">
        <v>-19.524000000000001</v>
      </c>
      <c r="R25" s="56">
        <v>-15.037000000000001</v>
      </c>
      <c r="T25" s="56">
        <f t="shared" ref="T25:T32" si="4">SUM(P25:S25)</f>
        <v>-49.345999999999997</v>
      </c>
    </row>
    <row r="26" spans="1:20" s="58" customFormat="1" ht="16.5" x14ac:dyDescent="0.45">
      <c r="A26" s="55" t="s">
        <v>225</v>
      </c>
      <c r="B26" s="56">
        <v>3.7429999999999999</v>
      </c>
      <c r="C26" s="56">
        <v>-3.141</v>
      </c>
      <c r="D26" s="56">
        <v>-0.53800000000000003</v>
      </c>
      <c r="E26" s="56">
        <v>-2.851</v>
      </c>
      <c r="F26" s="149"/>
      <c r="G26" s="56">
        <f t="shared" si="2"/>
        <v>-2.7869999999999999</v>
      </c>
      <c r="H26" s="149"/>
      <c r="I26" s="56">
        <v>-1.6439999999999999</v>
      </c>
      <c r="J26" s="56">
        <v>-3.343</v>
      </c>
      <c r="K26" s="56">
        <v>-2.4940000000000002</v>
      </c>
      <c r="L26" s="56">
        <v>-2.08</v>
      </c>
      <c r="M26" s="149"/>
      <c r="N26" s="56">
        <f t="shared" si="3"/>
        <v>-9.5609999999999999</v>
      </c>
      <c r="P26" s="56">
        <v>-1.375</v>
      </c>
      <c r="Q26" s="56">
        <v>-0.114</v>
      </c>
      <c r="R26" s="56">
        <v>-1.1719999999999999</v>
      </c>
      <c r="T26" s="56">
        <f t="shared" si="4"/>
        <v>-2.661</v>
      </c>
    </row>
    <row r="27" spans="1:20" s="58" customFormat="1" ht="16.5" x14ac:dyDescent="0.45">
      <c r="A27" s="55" t="s">
        <v>89</v>
      </c>
      <c r="B27" s="56">
        <f>-2.018-B29</f>
        <v>-2.0179999999999998</v>
      </c>
      <c r="C27" s="56">
        <v>-0.49</v>
      </c>
      <c r="D27" s="56">
        <f>-0.292-D29</f>
        <v>-0.10699999999999998</v>
      </c>
      <c r="E27" s="56">
        <f>-3.155-E29</f>
        <v>-0.94</v>
      </c>
      <c r="F27" s="149"/>
      <c r="G27" s="56">
        <f t="shared" si="2"/>
        <v>-3.5550000000000002</v>
      </c>
      <c r="H27" s="149"/>
      <c r="I27" s="56">
        <f>-0.609-I29</f>
        <v>-0.59299999999999997</v>
      </c>
      <c r="J27" s="56">
        <f>-1.914-J29</f>
        <v>-0.44599999999999995</v>
      </c>
      <c r="K27" s="56">
        <f>-0.679-K29</f>
        <v>-0.14000000000000001</v>
      </c>
      <c r="L27" s="56">
        <f>-11.353-L29</f>
        <v>-3.5819999999999999</v>
      </c>
      <c r="M27" s="149"/>
      <c r="N27" s="56">
        <f t="shared" si="3"/>
        <v>-4.7609999999999992</v>
      </c>
      <c r="P27" s="56">
        <v>-2.6739999999999999</v>
      </c>
      <c r="Q27" s="56">
        <v>-3.8090000000000002</v>
      </c>
      <c r="R27" s="56">
        <v>-1.3240000000000001</v>
      </c>
      <c r="T27" s="56">
        <f t="shared" si="4"/>
        <v>-7.8070000000000004</v>
      </c>
    </row>
    <row r="28" spans="1:20" s="58" customFormat="1" ht="16.5" x14ac:dyDescent="0.45">
      <c r="A28" s="55" t="s">
        <v>236</v>
      </c>
      <c r="B28" s="56">
        <v>0</v>
      </c>
      <c r="C28" s="56">
        <v>0</v>
      </c>
      <c r="D28" s="56">
        <v>0</v>
      </c>
      <c r="E28" s="56">
        <v>0</v>
      </c>
      <c r="F28" s="149"/>
      <c r="G28" s="56">
        <f t="shared" si="2"/>
        <v>0</v>
      </c>
      <c r="H28" s="149"/>
      <c r="I28" s="56">
        <v>-5.5270000000000001</v>
      </c>
      <c r="J28" s="56">
        <v>-3.2090000000000001</v>
      </c>
      <c r="K28" s="56">
        <v>-1.915</v>
      </c>
      <c r="L28" s="56">
        <v>-1.74</v>
      </c>
      <c r="M28" s="149"/>
      <c r="N28" s="56">
        <f t="shared" si="3"/>
        <v>-12.391</v>
      </c>
      <c r="P28" s="56">
        <v>-0.59099999999999997</v>
      </c>
      <c r="Q28" s="56">
        <v>-0.26</v>
      </c>
      <c r="R28" s="56">
        <v>-0.29099999999999998</v>
      </c>
      <c r="T28" s="56">
        <f t="shared" si="4"/>
        <v>-1.1419999999999999</v>
      </c>
    </row>
    <row r="29" spans="1:20" s="58" customFormat="1" ht="16.5" x14ac:dyDescent="0.45">
      <c r="A29" s="58" t="s">
        <v>264</v>
      </c>
      <c r="B29" s="56">
        <v>0</v>
      </c>
      <c r="C29" s="56">
        <v>0</v>
      </c>
      <c r="D29" s="56">
        <v>-0.185</v>
      </c>
      <c r="E29" s="56">
        <v>-2.2149999999999999</v>
      </c>
      <c r="F29" s="149"/>
      <c r="G29" s="56">
        <f t="shared" si="2"/>
        <v>-2.4</v>
      </c>
      <c r="H29" s="149"/>
      <c r="I29" s="56">
        <v>-1.6E-2</v>
      </c>
      <c r="J29" s="56">
        <v>-1.468</v>
      </c>
      <c r="K29" s="56">
        <v>-0.53900000000000003</v>
      </c>
      <c r="L29" s="56">
        <v>-7.7709999999999999</v>
      </c>
      <c r="M29" s="149"/>
      <c r="N29" s="56">
        <f t="shared" si="3"/>
        <v>-9.7940000000000005</v>
      </c>
      <c r="P29" s="56">
        <v>-5.548</v>
      </c>
      <c r="Q29" s="56">
        <v>-1.5580000000000001</v>
      </c>
      <c r="R29" s="56">
        <v>-0.72499999999999998</v>
      </c>
      <c r="T29" s="56">
        <f t="shared" si="4"/>
        <v>-7.8309999999999995</v>
      </c>
    </row>
    <row r="30" spans="1:20" s="58" customFormat="1" ht="16.5" x14ac:dyDescent="0.45">
      <c r="A30" s="58" t="s">
        <v>295</v>
      </c>
      <c r="B30" s="56">
        <v>0</v>
      </c>
      <c r="C30" s="56">
        <v>0</v>
      </c>
      <c r="D30" s="56">
        <v>0</v>
      </c>
      <c r="E30" s="56">
        <v>0</v>
      </c>
      <c r="F30" s="149"/>
      <c r="G30" s="56">
        <f t="shared" si="2"/>
        <v>0</v>
      </c>
      <c r="H30" s="149"/>
      <c r="I30" s="56">
        <v>0</v>
      </c>
      <c r="J30" s="56">
        <v>-0.54200000000000004</v>
      </c>
      <c r="K30" s="56">
        <v>-0.03</v>
      </c>
      <c r="L30" s="56">
        <v>-0.66400000000000003</v>
      </c>
      <c r="M30" s="149"/>
      <c r="N30" s="56">
        <f t="shared" si="3"/>
        <v>-1.2360000000000002</v>
      </c>
      <c r="O30" s="57"/>
      <c r="P30" s="56">
        <v>-1.4830000000000001</v>
      </c>
      <c r="Q30" s="56">
        <v>-0.94799999999999995</v>
      </c>
      <c r="R30" s="56">
        <v>-1.095</v>
      </c>
      <c r="S30" s="57"/>
      <c r="T30" s="56">
        <f t="shared" si="4"/>
        <v>-3.5259999999999998</v>
      </c>
    </row>
    <row r="31" spans="1:20" s="58" customFormat="1" ht="16.5" x14ac:dyDescent="0.45">
      <c r="A31" s="55" t="s">
        <v>90</v>
      </c>
      <c r="B31" s="56">
        <v>0</v>
      </c>
      <c r="C31" s="56">
        <v>0</v>
      </c>
      <c r="D31" s="56">
        <v>0</v>
      </c>
      <c r="E31" s="56">
        <v>0</v>
      </c>
      <c r="F31" s="149"/>
      <c r="G31" s="56">
        <f t="shared" si="2"/>
        <v>0</v>
      </c>
      <c r="H31" s="149"/>
      <c r="I31" s="56">
        <v>0</v>
      </c>
      <c r="J31" s="56">
        <v>0</v>
      </c>
      <c r="K31" s="56">
        <v>-0.373</v>
      </c>
      <c r="L31" s="56">
        <v>-1.2629999999999999</v>
      </c>
      <c r="M31" s="149"/>
      <c r="N31" s="56">
        <f t="shared" si="3"/>
        <v>-1.6359999999999999</v>
      </c>
      <c r="O31" s="57"/>
      <c r="P31" s="56">
        <v>0</v>
      </c>
      <c r="Q31" s="56">
        <v>-1.7989999999999999</v>
      </c>
      <c r="R31" s="56">
        <v>0</v>
      </c>
      <c r="S31" s="57"/>
      <c r="T31" s="56">
        <f t="shared" si="4"/>
        <v>-1.7989999999999999</v>
      </c>
    </row>
    <row r="32" spans="1:20" s="58" customFormat="1" ht="16.5" x14ac:dyDescent="0.45">
      <c r="A32" s="55" t="s">
        <v>152</v>
      </c>
      <c r="B32" s="56">
        <v>-0.10100000000000001</v>
      </c>
      <c r="C32" s="56">
        <v>0.88900000000000001</v>
      </c>
      <c r="D32" s="56">
        <v>-4.2000000000000003E-2</v>
      </c>
      <c r="E32" s="56">
        <v>-0.27900000000000003</v>
      </c>
      <c r="F32" s="149"/>
      <c r="G32" s="56">
        <f t="shared" si="2"/>
        <v>0.46699999999999997</v>
      </c>
      <c r="H32" s="149"/>
      <c r="I32" s="56">
        <v>-4.3999999999999997E-2</v>
      </c>
      <c r="J32" s="56">
        <f>-0.605-J30</f>
        <v>-6.2999999999999945E-2</v>
      </c>
      <c r="K32" s="56">
        <f>0.037-K30</f>
        <v>6.7000000000000004E-2</v>
      </c>
      <c r="L32" s="56">
        <f>-0.759-L30</f>
        <v>-9.4999999999999973E-2</v>
      </c>
      <c r="M32" s="149"/>
      <c r="N32" s="56">
        <f t="shared" si="3"/>
        <v>-0.1349999999999999</v>
      </c>
      <c r="O32" s="57"/>
      <c r="P32" s="56">
        <f>-2.009-P30</f>
        <v>-0.5259999999999998</v>
      </c>
      <c r="Q32" s="56">
        <f>-2.033-Q30</f>
        <v>-1.085</v>
      </c>
      <c r="R32" s="56">
        <f>-1.995-R30</f>
        <v>-0.90000000000000013</v>
      </c>
      <c r="S32" s="57"/>
      <c r="T32" s="56">
        <f t="shared" si="4"/>
        <v>-2.5110000000000001</v>
      </c>
    </row>
    <row r="33" spans="1:20" s="58" customFormat="1" ht="16.5" x14ac:dyDescent="0.45">
      <c r="A33" s="55" t="s">
        <v>153</v>
      </c>
      <c r="B33" s="85">
        <v>-7.5659999999999998</v>
      </c>
      <c r="C33" s="85">
        <v>-6.2210000000000001</v>
      </c>
      <c r="D33" s="85">
        <v>-7.3410000000000002</v>
      </c>
      <c r="E33" s="85">
        <v>-8.1639999999999997</v>
      </c>
      <c r="F33" s="86"/>
      <c r="G33" s="85">
        <f t="shared" si="2"/>
        <v>-29.292000000000002</v>
      </c>
      <c r="H33" s="86"/>
      <c r="I33" s="85">
        <v>0</v>
      </c>
      <c r="J33" s="85">
        <v>0</v>
      </c>
      <c r="K33" s="85">
        <v>0</v>
      </c>
      <c r="L33" s="85">
        <v>0</v>
      </c>
      <c r="M33" s="86"/>
      <c r="N33" s="85">
        <f t="shared" si="3"/>
        <v>0</v>
      </c>
      <c r="P33" s="85">
        <v>0</v>
      </c>
      <c r="Q33" s="85">
        <v>0</v>
      </c>
      <c r="R33" s="85">
        <v>0</v>
      </c>
      <c r="T33" s="85">
        <v>0</v>
      </c>
    </row>
    <row r="34" spans="1:20" s="58" customFormat="1" ht="16.5" x14ac:dyDescent="0.45">
      <c r="A34" s="55" t="s">
        <v>154</v>
      </c>
      <c r="B34" s="82">
        <v>-1.3540000000000001</v>
      </c>
      <c r="C34" s="82">
        <v>-1.6930000000000001</v>
      </c>
      <c r="D34" s="82">
        <v>-0.91200000000000003</v>
      </c>
      <c r="E34" s="82">
        <v>-1.571</v>
      </c>
      <c r="F34" s="86"/>
      <c r="G34" s="82">
        <f t="shared" si="2"/>
        <v>-5.53</v>
      </c>
      <c r="H34" s="86"/>
      <c r="I34" s="82">
        <v>0</v>
      </c>
      <c r="J34" s="82">
        <v>0</v>
      </c>
      <c r="K34" s="82">
        <v>0</v>
      </c>
      <c r="L34" s="82">
        <v>0</v>
      </c>
      <c r="M34" s="86"/>
      <c r="N34" s="82">
        <f t="shared" si="3"/>
        <v>0</v>
      </c>
      <c r="P34" s="82">
        <v>0</v>
      </c>
      <c r="Q34" s="82">
        <v>0</v>
      </c>
      <c r="R34" s="82">
        <v>0</v>
      </c>
      <c r="T34" s="82">
        <v>0</v>
      </c>
    </row>
    <row r="35" spans="1:20" s="58" customFormat="1" ht="16.899999999999999" x14ac:dyDescent="0.5">
      <c r="A35" s="88" t="s">
        <v>156</v>
      </c>
      <c r="B35" s="89">
        <f>SUM(B25:B34)+B22</f>
        <v>60.563000000000002</v>
      </c>
      <c r="C35" s="89">
        <f>SUM(C25:C34)+C22</f>
        <v>56.406999999999996</v>
      </c>
      <c r="D35" s="89">
        <f>SUM(D25:D34)+D22</f>
        <v>58.507000000000005</v>
      </c>
      <c r="E35" s="89">
        <f>SUM(E25:E34)+E22</f>
        <v>70.781999999999996</v>
      </c>
      <c r="F35" s="165"/>
      <c r="G35" s="89">
        <f t="shared" si="2"/>
        <v>246.25900000000001</v>
      </c>
      <c r="H35" s="239"/>
      <c r="I35" s="89">
        <f>SUM(I25:I34)+I22</f>
        <v>66.456000000000003</v>
      </c>
      <c r="J35" s="89">
        <f>SUM(J25:J34)+J22</f>
        <v>67.665000000000006</v>
      </c>
      <c r="K35" s="89">
        <f>SUM(K25:K34)+K22</f>
        <v>70.938000000000002</v>
      </c>
      <c r="L35" s="89">
        <f>SUM(L25:L34)+L22</f>
        <v>79.562999999999988</v>
      </c>
      <c r="M35" s="239"/>
      <c r="N35" s="89">
        <f t="shared" si="3"/>
        <v>284.62200000000001</v>
      </c>
      <c r="P35" s="89">
        <f>SUM(P25:P34)+P22</f>
        <v>75.900000000000006</v>
      </c>
      <c r="Q35" s="89">
        <f>SUM(Q25:Q34)+Q22</f>
        <v>76.60799999999999</v>
      </c>
      <c r="R35" s="89">
        <f>SUM(R25:R34)+R22</f>
        <v>73.213000000000008</v>
      </c>
      <c r="T35" s="89">
        <f>SUM(P35:S35)</f>
        <v>225.721</v>
      </c>
    </row>
    <row r="36" spans="1:20" s="58" customFormat="1" ht="16.899999999999999" x14ac:dyDescent="0.5">
      <c r="A36" s="51" t="s">
        <v>83</v>
      </c>
      <c r="B36" s="87">
        <v>0.32</v>
      </c>
      <c r="C36" s="87">
        <v>0.27200000000000002</v>
      </c>
      <c r="D36" s="87">
        <v>0.26900000000000002</v>
      </c>
      <c r="E36" s="87">
        <v>0.312</v>
      </c>
      <c r="F36" s="164"/>
      <c r="G36" s="87">
        <v>0.29299999999999998</v>
      </c>
      <c r="H36" s="164"/>
      <c r="I36" s="87">
        <v>0.32900000000000001</v>
      </c>
      <c r="J36" s="87">
        <v>0.314</v>
      </c>
      <c r="K36" s="87">
        <v>0.313</v>
      </c>
      <c r="L36" s="87">
        <v>0.33700000000000002</v>
      </c>
      <c r="M36" s="164"/>
      <c r="N36" s="87">
        <v>0.32300000000000001</v>
      </c>
      <c r="P36" s="87">
        <v>0.34599999999999997</v>
      </c>
      <c r="Q36" s="87">
        <v>0.34300000000000003</v>
      </c>
      <c r="R36" s="87">
        <v>0.32500000000000001</v>
      </c>
      <c r="T36" s="87">
        <v>0.33800000000000002</v>
      </c>
    </row>
    <row r="37" spans="1:20" s="58" customFormat="1" ht="16.899999999999999" x14ac:dyDescent="0.5">
      <c r="A37" s="88"/>
      <c r="B37" s="62"/>
      <c r="C37" s="62"/>
      <c r="D37" s="62"/>
      <c r="E37" s="62"/>
      <c r="F37" s="137"/>
      <c r="G37" s="62"/>
      <c r="H37" s="137"/>
      <c r="I37" s="62"/>
      <c r="J37" s="62"/>
      <c r="K37" s="62"/>
      <c r="L37" s="62"/>
      <c r="M37" s="137"/>
      <c r="N37" s="62"/>
      <c r="P37" s="62"/>
      <c r="Q37" s="62"/>
      <c r="R37" s="62"/>
      <c r="T37" s="62"/>
    </row>
    <row r="38" spans="1:20" s="44" customFormat="1" x14ac:dyDescent="0.3"/>
    <row r="39" spans="1:20" s="44" customFormat="1" x14ac:dyDescent="0.3"/>
    <row r="40" spans="1:20" s="44" customFormat="1" x14ac:dyDescent="0.3"/>
    <row r="41" spans="1:20" s="44" customFormat="1" x14ac:dyDescent="0.3"/>
    <row r="42" spans="1:20" s="44" customFormat="1" x14ac:dyDescent="0.3"/>
    <row r="43" spans="1:20" s="44" customFormat="1" x14ac:dyDescent="0.3"/>
    <row r="44" spans="1:20" s="44" customFormat="1" x14ac:dyDescent="0.3"/>
    <row r="45" spans="1:20" s="44" customFormat="1" x14ac:dyDescent="0.3"/>
    <row r="46" spans="1:20" s="44" customFormat="1" x14ac:dyDescent="0.3"/>
    <row r="47" spans="1:20" s="44" customFormat="1" x14ac:dyDescent="0.3"/>
    <row r="48" spans="1:20" s="44" customFormat="1" x14ac:dyDescent="0.3"/>
    <row r="49" s="44" customFormat="1" x14ac:dyDescent="0.3"/>
    <row r="50" s="44" customFormat="1" x14ac:dyDescent="0.3"/>
    <row r="51" s="44" customFormat="1" x14ac:dyDescent="0.3"/>
    <row r="52" s="44" customFormat="1" x14ac:dyDescent="0.3"/>
    <row r="53" s="44" customFormat="1" x14ac:dyDescent="0.3"/>
    <row r="54" s="44" customFormat="1" x14ac:dyDescent="0.3"/>
    <row r="55" s="44" customFormat="1" x14ac:dyDescent="0.3"/>
    <row r="56" s="44" customFormat="1" x14ac:dyDescent="0.3"/>
    <row r="57" s="44" customFormat="1" x14ac:dyDescent="0.3"/>
    <row r="58" s="44" customFormat="1" x14ac:dyDescent="0.3"/>
    <row r="59" s="44" customFormat="1" x14ac:dyDescent="0.3"/>
    <row r="60" s="44" customFormat="1" x14ac:dyDescent="0.3"/>
    <row r="61" s="44" customFormat="1" x14ac:dyDescent="0.3"/>
    <row r="62" s="44" customFormat="1" x14ac:dyDescent="0.3"/>
    <row r="63" s="44" customFormat="1" x14ac:dyDescent="0.3"/>
    <row r="64" s="44" customFormat="1" x14ac:dyDescent="0.3"/>
    <row r="65" s="44" customFormat="1" x14ac:dyDescent="0.3"/>
    <row r="66" s="44" customFormat="1" x14ac:dyDescent="0.3"/>
    <row r="67" s="44" customFormat="1" x14ac:dyDescent="0.3"/>
    <row r="68" s="44" customFormat="1" x14ac:dyDescent="0.3"/>
    <row r="69" s="44" customFormat="1" x14ac:dyDescent="0.3"/>
    <row r="70" s="44" customFormat="1" x14ac:dyDescent="0.3"/>
    <row r="71" s="44" customFormat="1" x14ac:dyDescent="0.3"/>
    <row r="72" s="44" customFormat="1" x14ac:dyDescent="0.3"/>
    <row r="73" s="44" customFormat="1" x14ac:dyDescent="0.3"/>
    <row r="74" s="44" customFormat="1" x14ac:dyDescent="0.3"/>
    <row r="75" s="44" customFormat="1" x14ac:dyDescent="0.3"/>
    <row r="76" s="44" customFormat="1" x14ac:dyDescent="0.3"/>
    <row r="77" s="44" customFormat="1" x14ac:dyDescent="0.3"/>
    <row r="78" s="44" customFormat="1" x14ac:dyDescent="0.3"/>
    <row r="79" s="44" customFormat="1" x14ac:dyDescent="0.3"/>
    <row r="80" s="44" customFormat="1" x14ac:dyDescent="0.3"/>
    <row r="81" s="44" customFormat="1" x14ac:dyDescent="0.3"/>
    <row r="82" s="44" customFormat="1" x14ac:dyDescent="0.3"/>
    <row r="83" s="44" customFormat="1" x14ac:dyDescent="0.3"/>
    <row r="84" s="44" customFormat="1" x14ac:dyDescent="0.3"/>
    <row r="85" s="44" customFormat="1" x14ac:dyDescent="0.3"/>
    <row r="86" s="44" customFormat="1" x14ac:dyDescent="0.3"/>
    <row r="87" s="44" customFormat="1" x14ac:dyDescent="0.3"/>
    <row r="88" s="44" customFormat="1" x14ac:dyDescent="0.3"/>
    <row r="89" s="44" customFormat="1" x14ac:dyDescent="0.3"/>
    <row r="90" s="44" customFormat="1" x14ac:dyDescent="0.3"/>
    <row r="91" s="44" customFormat="1" x14ac:dyDescent="0.3"/>
    <row r="92" s="44" customFormat="1" x14ac:dyDescent="0.3"/>
    <row r="93" s="44" customFormat="1" x14ac:dyDescent="0.3"/>
    <row r="94" s="44" customFormat="1" x14ac:dyDescent="0.3"/>
    <row r="95" s="44" customFormat="1" x14ac:dyDescent="0.3"/>
    <row r="96" s="44" customFormat="1" x14ac:dyDescent="0.3"/>
    <row r="97" s="44" customFormat="1" x14ac:dyDescent="0.3"/>
    <row r="98" s="44" customFormat="1" x14ac:dyDescent="0.3"/>
    <row r="99" s="44" customFormat="1" x14ac:dyDescent="0.3"/>
    <row r="100" s="44" customFormat="1" x14ac:dyDescent="0.3"/>
    <row r="101" s="44" customFormat="1" x14ac:dyDescent="0.3"/>
    <row r="102" s="44" customFormat="1" x14ac:dyDescent="0.3"/>
    <row r="103" s="44" customFormat="1" x14ac:dyDescent="0.3"/>
    <row r="104" s="44" customFormat="1" x14ac:dyDescent="0.3"/>
    <row r="105" s="44" customFormat="1" x14ac:dyDescent="0.3"/>
    <row r="106" s="44" customFormat="1" x14ac:dyDescent="0.3"/>
    <row r="107" s="44" customFormat="1" x14ac:dyDescent="0.3"/>
    <row r="108" s="44" customFormat="1" x14ac:dyDescent="0.3"/>
    <row r="109" s="44" customFormat="1" x14ac:dyDescent="0.3"/>
    <row r="110" s="44" customFormat="1" x14ac:dyDescent="0.3"/>
    <row r="111" s="44" customFormat="1" x14ac:dyDescent="0.3"/>
    <row r="112" s="44" customFormat="1" x14ac:dyDescent="0.3"/>
    <row r="113" s="44" customFormat="1" x14ac:dyDescent="0.3"/>
    <row r="114" s="44" customFormat="1" x14ac:dyDescent="0.3"/>
    <row r="115" s="44" customFormat="1" x14ac:dyDescent="0.3"/>
    <row r="116" s="44" customFormat="1" x14ac:dyDescent="0.3"/>
    <row r="117" s="44" customFormat="1" x14ac:dyDescent="0.3"/>
    <row r="118" s="44" customFormat="1" x14ac:dyDescent="0.3"/>
    <row r="119" s="44" customFormat="1" x14ac:dyDescent="0.3"/>
    <row r="120" s="44" customFormat="1" x14ac:dyDescent="0.3"/>
    <row r="121" s="44" customFormat="1" x14ac:dyDescent="0.3"/>
    <row r="122" s="44" customFormat="1" x14ac:dyDescent="0.3"/>
    <row r="123" s="44" customFormat="1" x14ac:dyDescent="0.3"/>
    <row r="124" s="44" customFormat="1" x14ac:dyDescent="0.3"/>
    <row r="125" s="44" customFormat="1" x14ac:dyDescent="0.3"/>
    <row r="126" s="44" customFormat="1" x14ac:dyDescent="0.3"/>
    <row r="127" s="44" customFormat="1" x14ac:dyDescent="0.3"/>
    <row r="128" s="44" customFormat="1" x14ac:dyDescent="0.3"/>
    <row r="129" s="44" customFormat="1" x14ac:dyDescent="0.3"/>
  </sheetData>
  <mergeCells count="3">
    <mergeCell ref="B3:E3"/>
    <mergeCell ref="I3:L3"/>
    <mergeCell ref="P3:R3"/>
  </mergeCells>
  <pageMargins left="0.25" right="0.25" top="0.75" bottom="0.75" header="0.3" footer="0.3"/>
  <pageSetup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A653-4632-4C83-9F0A-334844EA77D4}">
  <sheetPr>
    <tabColor rgb="FF0079FF"/>
    <pageSetUpPr fitToPage="1"/>
  </sheetPr>
  <dimension ref="A1:Z116"/>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69.265625" style="67" customWidth="1"/>
    <col min="2" max="5" width="20.73046875" style="44" hidden="1" customWidth="1" outlineLevel="1"/>
    <col min="6" max="6" width="1.86328125" style="44" hidden="1" customWidth="1" outlineLevel="1"/>
    <col min="7" max="7" width="20.73046875" style="44" customWidth="1" collapsed="1"/>
    <col min="8" max="8" width="1.73046875" style="44" customWidth="1"/>
    <col min="9" max="9" width="20.73046875" style="44" hidden="1" customWidth="1" outlineLevel="1"/>
    <col min="10" max="12" width="21.3984375" style="44" hidden="1" customWidth="1" outlineLevel="1"/>
    <col min="13" max="13" width="1.73046875" style="44" hidden="1" customWidth="1" outlineLevel="1"/>
    <col min="14" max="14" width="20.73046875" style="44" customWidth="1" collapsed="1"/>
    <col min="15" max="15" width="1.73046875" style="44" customWidth="1"/>
    <col min="16" max="18" width="20.73046875" style="44" customWidth="1"/>
    <col min="19" max="19" width="2.73046875" style="44" customWidth="1"/>
    <col min="20" max="20" width="20.73046875" style="44" customWidth="1"/>
    <col min="21" max="26" width="12" style="44" customWidth="1"/>
    <col min="27" max="16384" width="9.1328125" style="44"/>
  </cols>
  <sheetData>
    <row r="1" spans="1:26" ht="17.649999999999999" x14ac:dyDescent="0.5">
      <c r="A1" s="5" t="s">
        <v>163</v>
      </c>
    </row>
    <row r="2" spans="1:26" x14ac:dyDescent="0.3">
      <c r="A2" s="45"/>
      <c r="B2" s="45"/>
      <c r="C2" s="45"/>
      <c r="D2" s="45"/>
      <c r="E2" s="45"/>
      <c r="F2" s="45"/>
      <c r="G2" s="45"/>
      <c r="H2" s="45"/>
      <c r="I2" s="45"/>
      <c r="J2" s="45"/>
      <c r="K2" s="45"/>
      <c r="L2" s="45"/>
      <c r="M2" s="45"/>
      <c r="N2" s="45"/>
      <c r="O2" s="45"/>
      <c r="P2" s="45"/>
      <c r="Q2" s="45"/>
      <c r="R2" s="45"/>
      <c r="S2" s="45"/>
      <c r="T2" s="45"/>
      <c r="U2" s="45"/>
      <c r="V2" s="45"/>
      <c r="W2" s="45"/>
      <c r="X2" s="45"/>
      <c r="Y2" s="45"/>
      <c r="Z2" s="45"/>
    </row>
    <row r="3" spans="1:26" s="7" customFormat="1" ht="30" customHeight="1" x14ac:dyDescent="0.4">
      <c r="A3" s="48"/>
      <c r="B3" s="319" t="s">
        <v>10</v>
      </c>
      <c r="C3" s="319"/>
      <c r="D3" s="319"/>
      <c r="E3" s="319"/>
      <c r="F3" s="147"/>
      <c r="G3" s="47" t="s">
        <v>247</v>
      </c>
      <c r="H3" s="147"/>
      <c r="I3" s="319" t="s">
        <v>10</v>
      </c>
      <c r="J3" s="319"/>
      <c r="K3" s="319"/>
      <c r="L3" s="319"/>
      <c r="M3" s="147"/>
      <c r="N3" s="47" t="s">
        <v>247</v>
      </c>
      <c r="O3" s="147"/>
      <c r="P3" s="319" t="s">
        <v>10</v>
      </c>
      <c r="Q3" s="319"/>
      <c r="R3" s="319"/>
      <c r="T3" s="47" t="s">
        <v>289</v>
      </c>
    </row>
    <row r="4" spans="1:26" s="7" customFormat="1" ht="30" customHeight="1" x14ac:dyDescent="0.4">
      <c r="A4" s="48" t="s">
        <v>13</v>
      </c>
      <c r="B4" s="49" t="s">
        <v>43</v>
      </c>
      <c r="C4" s="49" t="s">
        <v>229</v>
      </c>
      <c r="D4" s="49" t="s">
        <v>241</v>
      </c>
      <c r="E4" s="49" t="s">
        <v>44</v>
      </c>
      <c r="F4" s="148"/>
      <c r="G4" s="49" t="s">
        <v>44</v>
      </c>
      <c r="H4" s="148"/>
      <c r="I4" s="49" t="s">
        <v>103</v>
      </c>
      <c r="J4" s="49" t="s">
        <v>230</v>
      </c>
      <c r="K4" s="49" t="s">
        <v>242</v>
      </c>
      <c r="L4" s="49" t="s">
        <v>246</v>
      </c>
      <c r="M4" s="148"/>
      <c r="N4" s="49" t="s">
        <v>246</v>
      </c>
      <c r="O4" s="148"/>
      <c r="P4" s="49" t="s">
        <v>267</v>
      </c>
      <c r="Q4" s="49" t="s">
        <v>277</v>
      </c>
      <c r="R4" s="49" t="s">
        <v>288</v>
      </c>
      <c r="T4" s="49" t="s">
        <v>288</v>
      </c>
    </row>
    <row r="5" spans="1:26" s="58" customFormat="1" ht="16.899999999999999" x14ac:dyDescent="0.5">
      <c r="A5" s="77"/>
    </row>
    <row r="6" spans="1:26" s="58" customFormat="1" ht="16.899999999999999" x14ac:dyDescent="0.5">
      <c r="A6" s="51" t="s">
        <v>268</v>
      </c>
      <c r="B6" s="52">
        <v>-2.0409999999999999</v>
      </c>
      <c r="C6" s="52">
        <v>21.573</v>
      </c>
      <c r="D6" s="52">
        <v>20.056999999999999</v>
      </c>
      <c r="E6" s="52">
        <v>17.832999999999998</v>
      </c>
      <c r="F6" s="145"/>
      <c r="G6" s="52">
        <f>+B6+C6+D6+E6</f>
        <v>57.421999999999997</v>
      </c>
      <c r="H6" s="145"/>
      <c r="I6" s="52">
        <v>4.4420000000000002</v>
      </c>
      <c r="J6" s="52">
        <v>11.537000000000001</v>
      </c>
      <c r="K6" s="52">
        <v>24.667999999999999</v>
      </c>
      <c r="L6" s="52">
        <v>6.1959999999999997</v>
      </c>
      <c r="M6" s="145"/>
      <c r="N6" s="52">
        <f>+I6+J6+K6+L6</f>
        <v>46.842999999999996</v>
      </c>
      <c r="O6" s="145"/>
      <c r="P6" s="52">
        <v>0.498</v>
      </c>
      <c r="Q6" s="52">
        <v>1.51</v>
      </c>
      <c r="R6" s="52">
        <v>21.678000000000001</v>
      </c>
      <c r="S6" s="91"/>
      <c r="T6" s="52">
        <f>SUM(P6:S6)</f>
        <v>23.686</v>
      </c>
      <c r="U6" s="91"/>
      <c r="V6" s="91"/>
      <c r="W6" s="91"/>
      <c r="X6" s="91"/>
    </row>
    <row r="7" spans="1:26" s="58" customFormat="1" ht="16.899999999999999" x14ac:dyDescent="0.5">
      <c r="A7" s="51" t="s">
        <v>86</v>
      </c>
      <c r="B7" s="87">
        <v>-1.0999999999999999E-2</v>
      </c>
      <c r="C7" s="87">
        <v>0.106</v>
      </c>
      <c r="D7" s="87">
        <v>9.2999999999999999E-2</v>
      </c>
      <c r="E7" s="87">
        <v>7.9000000000000001E-2</v>
      </c>
      <c r="F7" s="164"/>
      <c r="G7" s="87">
        <v>6.9000000000000006E-2</v>
      </c>
      <c r="H7" s="164"/>
      <c r="I7" s="87">
        <v>2.1999999999999999E-2</v>
      </c>
      <c r="J7" s="87">
        <v>5.3999999999999999E-2</v>
      </c>
      <c r="K7" s="87">
        <v>0.11</v>
      </c>
      <c r="L7" s="87">
        <v>2.5999999999999999E-2</v>
      </c>
      <c r="M7" s="164"/>
      <c r="N7" s="87">
        <v>5.3999999999999999E-2</v>
      </c>
      <c r="O7" s="164"/>
      <c r="P7" s="87">
        <v>2E-3</v>
      </c>
      <c r="Q7" s="87">
        <v>7.0000000000000001E-3</v>
      </c>
      <c r="R7" s="87">
        <v>9.6000000000000002E-2</v>
      </c>
      <c r="S7" s="62"/>
      <c r="T7" s="87">
        <v>3.5999999999999997E-2</v>
      </c>
      <c r="U7" s="62"/>
      <c r="V7" s="62"/>
      <c r="W7" s="62"/>
      <c r="X7" s="62"/>
    </row>
    <row r="8" spans="1:26" s="58" customFormat="1" ht="16.899999999999999" x14ac:dyDescent="0.5">
      <c r="A8" s="51"/>
      <c r="B8" s="62"/>
      <c r="C8" s="62"/>
      <c r="D8" s="62"/>
      <c r="E8" s="62"/>
      <c r="F8" s="137"/>
      <c r="G8" s="62"/>
      <c r="H8" s="166"/>
      <c r="I8" s="92"/>
      <c r="J8" s="92"/>
      <c r="K8" s="92"/>
      <c r="L8" s="92"/>
      <c r="M8" s="166"/>
      <c r="N8" s="62"/>
      <c r="O8" s="166"/>
      <c r="P8" s="92"/>
      <c r="Q8" s="92"/>
      <c r="R8" s="92"/>
      <c r="S8" s="62"/>
      <c r="T8" s="92"/>
      <c r="U8" s="62"/>
      <c r="V8" s="62"/>
      <c r="W8" s="62"/>
      <c r="X8" s="62"/>
    </row>
    <row r="9" spans="1:26" s="58" customFormat="1" ht="16.899999999999999" x14ac:dyDescent="0.5">
      <c r="A9" s="55" t="s">
        <v>79</v>
      </c>
      <c r="B9" s="56">
        <f>'Revenue Metrics'!C20</f>
        <v>3.2620000000000005</v>
      </c>
      <c r="C9" s="56">
        <f>'Revenue Metrics'!D20</f>
        <v>3.0660000000000309</v>
      </c>
      <c r="D9" s="56">
        <f>'Revenue Metrics'!E20</f>
        <v>2.2269999999999754</v>
      </c>
      <c r="E9" s="56">
        <f>'Revenue Metrics'!F20</f>
        <v>1.7810000000000059</v>
      </c>
      <c r="F9" s="149"/>
      <c r="G9" s="56">
        <f t="shared" ref="G9:G22" si="0">+B9+C9+D9+E9</f>
        <v>10.336000000000013</v>
      </c>
      <c r="H9" s="149"/>
      <c r="I9" s="56">
        <f>'Revenue Metrics'!J20</f>
        <v>1.0390000000000157</v>
      </c>
      <c r="J9" s="56">
        <v>1.0129999999999999</v>
      </c>
      <c r="K9" s="56">
        <v>2.1080000000000001</v>
      </c>
      <c r="L9" s="56">
        <v>2.0110000000000001</v>
      </c>
      <c r="M9" s="149"/>
      <c r="N9" s="56">
        <f t="shared" ref="N9:N22" si="1">+I9+J9+K9+L9</f>
        <v>6.1710000000000163</v>
      </c>
      <c r="O9" s="149"/>
      <c r="P9" s="56">
        <f>'Revenue Metrics'!Q20</f>
        <v>1.3429999999999609</v>
      </c>
      <c r="Q9" s="56">
        <f>'Revenue Metrics'!R20</f>
        <v>0.73199999999999932</v>
      </c>
      <c r="R9" s="56">
        <f>'Revenue Metrics'!S20</f>
        <v>0.42300000000000182</v>
      </c>
      <c r="S9" s="62"/>
      <c r="T9" s="56">
        <f t="shared" ref="T9:T18" si="2">SUM(P9:S9)</f>
        <v>2.497999999999962</v>
      </c>
      <c r="U9" s="62"/>
      <c r="V9" s="62"/>
      <c r="W9" s="62"/>
      <c r="X9" s="62"/>
    </row>
    <row r="10" spans="1:26" s="58" customFormat="1" ht="16.899999999999999" x14ac:dyDescent="0.5">
      <c r="A10" s="55" t="s">
        <v>75</v>
      </c>
      <c r="B10" s="56">
        <v>4.3559999999999999</v>
      </c>
      <c r="C10" s="56">
        <v>4.1890000000000001</v>
      </c>
      <c r="D10" s="56">
        <v>4.0439999999999996</v>
      </c>
      <c r="E10" s="56">
        <v>5.3730000000000002</v>
      </c>
      <c r="F10" s="149"/>
      <c r="G10" s="56">
        <f t="shared" si="0"/>
        <v>17.962</v>
      </c>
      <c r="H10" s="149"/>
      <c r="I10" s="56">
        <v>4.3840000000000003</v>
      </c>
      <c r="J10" s="56">
        <v>4.4260000000000002</v>
      </c>
      <c r="K10" s="56">
        <v>4.7489999999999997</v>
      </c>
      <c r="L10" s="56">
        <v>4.218</v>
      </c>
      <c r="M10" s="149"/>
      <c r="N10" s="56">
        <f t="shared" si="1"/>
        <v>17.777000000000001</v>
      </c>
      <c r="O10" s="149"/>
      <c r="P10" s="56">
        <v>3.6389999999999998</v>
      </c>
      <c r="Q10" s="56">
        <v>3.5529999999999999</v>
      </c>
      <c r="R10" s="56">
        <v>3.55</v>
      </c>
      <c r="S10" s="62"/>
      <c r="T10" s="56">
        <f t="shared" si="2"/>
        <v>10.742000000000001</v>
      </c>
      <c r="U10" s="62"/>
      <c r="V10" s="62"/>
      <c r="W10" s="62"/>
      <c r="X10" s="62"/>
    </row>
    <row r="11" spans="1:26" s="58" customFormat="1" ht="16.899999999999999" x14ac:dyDescent="0.5">
      <c r="A11" s="55" t="s">
        <v>87</v>
      </c>
      <c r="B11" s="56">
        <v>7.7640000000000002</v>
      </c>
      <c r="C11" s="56">
        <v>7.7190000000000003</v>
      </c>
      <c r="D11" s="56">
        <v>7.8330000000000002</v>
      </c>
      <c r="E11" s="56">
        <v>6.4610000000000003</v>
      </c>
      <c r="F11" s="149"/>
      <c r="G11" s="56">
        <f t="shared" si="0"/>
        <v>29.777000000000001</v>
      </c>
      <c r="H11" s="149"/>
      <c r="I11" s="56">
        <v>7.3280000000000003</v>
      </c>
      <c r="J11" s="56">
        <v>7.3449999999999998</v>
      </c>
      <c r="K11" s="56">
        <v>7.2610000000000001</v>
      </c>
      <c r="L11" s="56">
        <v>7.0609999999999999</v>
      </c>
      <c r="M11" s="149"/>
      <c r="N11" s="56">
        <f t="shared" si="1"/>
        <v>28.995000000000001</v>
      </c>
      <c r="O11" s="149"/>
      <c r="P11" s="56">
        <v>6.8440000000000003</v>
      </c>
      <c r="Q11" s="56">
        <v>6.6230000000000002</v>
      </c>
      <c r="R11" s="56">
        <v>6.42</v>
      </c>
      <c r="S11" s="62"/>
      <c r="T11" s="56">
        <f t="shared" si="2"/>
        <v>19.887</v>
      </c>
      <c r="U11" s="62"/>
      <c r="V11" s="62"/>
      <c r="W11" s="62"/>
      <c r="X11" s="62"/>
    </row>
    <row r="12" spans="1:26" s="58" customFormat="1" ht="16.5" x14ac:dyDescent="0.45">
      <c r="A12" s="55" t="s">
        <v>88</v>
      </c>
      <c r="B12" s="85">
        <v>10.678000000000001</v>
      </c>
      <c r="C12" s="85">
        <v>13.329000000000001</v>
      </c>
      <c r="D12" s="85">
        <v>15.529</v>
      </c>
      <c r="E12" s="85">
        <v>5.6639999999999997</v>
      </c>
      <c r="F12" s="86"/>
      <c r="G12" s="85">
        <f t="shared" si="0"/>
        <v>45.2</v>
      </c>
      <c r="H12" s="86"/>
      <c r="I12" s="85">
        <v>16.401</v>
      </c>
      <c r="J12" s="85">
        <v>18.093</v>
      </c>
      <c r="K12" s="85">
        <v>16.594999999999999</v>
      </c>
      <c r="L12" s="85">
        <v>14.176</v>
      </c>
      <c r="M12" s="86"/>
      <c r="N12" s="85">
        <f t="shared" si="1"/>
        <v>65.265000000000001</v>
      </c>
      <c r="O12" s="86"/>
      <c r="P12" s="85">
        <v>18.369</v>
      </c>
      <c r="Q12" s="85">
        <v>25.693999999999999</v>
      </c>
      <c r="R12" s="85">
        <v>19.899000000000001</v>
      </c>
      <c r="T12" s="85">
        <f t="shared" si="2"/>
        <v>63.962000000000003</v>
      </c>
    </row>
    <row r="13" spans="1:26" s="58" customFormat="1" ht="16.5" x14ac:dyDescent="0.45">
      <c r="A13" s="55" t="s">
        <v>226</v>
      </c>
      <c r="B13" s="85">
        <v>-3.3530000000000002</v>
      </c>
      <c r="C13" s="85">
        <v>3.214</v>
      </c>
      <c r="D13" s="85">
        <v>0.65800000000000003</v>
      </c>
      <c r="E13" s="85">
        <v>2.895</v>
      </c>
      <c r="F13" s="86"/>
      <c r="G13" s="85">
        <f t="shared" si="0"/>
        <v>3.4139999999999997</v>
      </c>
      <c r="H13" s="86"/>
      <c r="I13" s="85">
        <v>1.6930000000000001</v>
      </c>
      <c r="J13" s="85">
        <v>3.4239999999999999</v>
      </c>
      <c r="K13" s="85">
        <v>2.8069999999999999</v>
      </c>
      <c r="L13" s="85">
        <v>2.492</v>
      </c>
      <c r="M13" s="86"/>
      <c r="N13" s="85">
        <f t="shared" si="1"/>
        <v>10.416</v>
      </c>
      <c r="O13" s="86"/>
      <c r="P13" s="85">
        <v>1.8240000000000001</v>
      </c>
      <c r="Q13" s="85">
        <v>3.9E-2</v>
      </c>
      <c r="R13" s="85">
        <v>1.1719999999999999</v>
      </c>
      <c r="T13" s="85">
        <f t="shared" si="2"/>
        <v>3.0350000000000001</v>
      </c>
    </row>
    <row r="14" spans="1:26" s="58" customFormat="1" ht="16.5" x14ac:dyDescent="0.45">
      <c r="A14" s="55" t="s">
        <v>89</v>
      </c>
      <c r="B14" s="85">
        <f>4.564-B16</f>
        <v>4.5640000000000001</v>
      </c>
      <c r="C14" s="85">
        <f>0.644-C16</f>
        <v>0.64400000000000002</v>
      </c>
      <c r="D14" s="85">
        <f>0.502-D16</f>
        <v>0.317</v>
      </c>
      <c r="E14" s="85">
        <f>3.791-E16</f>
        <v>1.5760000000000001</v>
      </c>
      <c r="F14" s="86"/>
      <c r="G14" s="85">
        <f t="shared" si="0"/>
        <v>7.1010000000000009</v>
      </c>
      <c r="H14" s="86"/>
      <c r="I14" s="85">
        <f>1.255-I16</f>
        <v>1.2389999999999999</v>
      </c>
      <c r="J14" s="85">
        <f>2.128-J16</f>
        <v>0.66000000000000014</v>
      </c>
      <c r="K14" s="85">
        <f>1.023-K16</f>
        <v>0.48399999999999987</v>
      </c>
      <c r="L14" s="85">
        <f>11.405-L16</f>
        <v>3.6339999999999995</v>
      </c>
      <c r="M14" s="86"/>
      <c r="N14" s="85">
        <f t="shared" si="1"/>
        <v>6.0169999999999995</v>
      </c>
      <c r="O14" s="86"/>
      <c r="P14" s="85">
        <v>3.149</v>
      </c>
      <c r="Q14" s="85">
        <v>3.847</v>
      </c>
      <c r="R14" s="85">
        <v>2.4260000000000002</v>
      </c>
      <c r="T14" s="85">
        <f t="shared" si="2"/>
        <v>9.4220000000000006</v>
      </c>
    </row>
    <row r="15" spans="1:26" s="58" customFormat="1" ht="16.5" x14ac:dyDescent="0.45">
      <c r="A15" s="55" t="s">
        <v>236</v>
      </c>
      <c r="B15" s="85">
        <v>0</v>
      </c>
      <c r="C15" s="85">
        <v>0</v>
      </c>
      <c r="D15" s="85">
        <v>0</v>
      </c>
      <c r="E15" s="85">
        <v>0</v>
      </c>
      <c r="F15" s="86"/>
      <c r="G15" s="85">
        <f t="shared" si="0"/>
        <v>0</v>
      </c>
      <c r="H15" s="86"/>
      <c r="I15" s="85">
        <v>6.0620000000000003</v>
      </c>
      <c r="J15" s="85">
        <v>3.2189999999999999</v>
      </c>
      <c r="K15" s="85">
        <v>1.9159999999999999</v>
      </c>
      <c r="L15" s="85">
        <v>1.74</v>
      </c>
      <c r="M15" s="86"/>
      <c r="N15" s="85">
        <f t="shared" si="1"/>
        <v>12.937000000000001</v>
      </c>
      <c r="O15" s="86"/>
      <c r="P15" s="85">
        <v>0.59099999999999997</v>
      </c>
      <c r="Q15" s="85">
        <v>0.26</v>
      </c>
      <c r="R15" s="85">
        <v>0.29099999999999998</v>
      </c>
      <c r="T15" s="85">
        <f t="shared" si="2"/>
        <v>1.1419999999999999</v>
      </c>
    </row>
    <row r="16" spans="1:26" s="58" customFormat="1" ht="16.5" x14ac:dyDescent="0.45">
      <c r="A16" s="58" t="s">
        <v>264</v>
      </c>
      <c r="B16" s="85">
        <f>-'Operating Expenses'!B29</f>
        <v>0</v>
      </c>
      <c r="C16" s="85">
        <f>-'Operating Expenses'!C29</f>
        <v>0</v>
      </c>
      <c r="D16" s="85">
        <f>-'Operating Expenses'!D29</f>
        <v>0.185</v>
      </c>
      <c r="E16" s="85">
        <f>-'Operating Expenses'!E29</f>
        <v>2.2149999999999999</v>
      </c>
      <c r="F16" s="86"/>
      <c r="G16" s="85">
        <f t="shared" si="0"/>
        <v>2.4</v>
      </c>
      <c r="H16" s="86"/>
      <c r="I16" s="85">
        <v>1.6E-2</v>
      </c>
      <c r="J16" s="85">
        <v>1.468</v>
      </c>
      <c r="K16" s="85">
        <v>0.53900000000000003</v>
      </c>
      <c r="L16" s="85">
        <v>7.7709999999999999</v>
      </c>
      <c r="M16" s="86"/>
      <c r="N16" s="85">
        <f t="shared" si="1"/>
        <v>9.7940000000000005</v>
      </c>
      <c r="O16" s="86"/>
      <c r="P16" s="85">
        <v>5.548</v>
      </c>
      <c r="Q16" s="85">
        <v>1.5580000000000001</v>
      </c>
      <c r="R16" s="85">
        <v>0.72499999999999998</v>
      </c>
      <c r="S16" s="57"/>
      <c r="T16" s="85">
        <f t="shared" si="2"/>
        <v>7.8309999999999995</v>
      </c>
    </row>
    <row r="17" spans="1:20" s="58" customFormat="1" ht="16.5" x14ac:dyDescent="0.45">
      <c r="A17" s="58" t="s">
        <v>295</v>
      </c>
      <c r="B17" s="85"/>
      <c r="C17" s="85"/>
      <c r="D17" s="85"/>
      <c r="E17" s="85">
        <v>0</v>
      </c>
      <c r="F17" s="86">
        <v>0</v>
      </c>
      <c r="G17" s="85">
        <v>0</v>
      </c>
      <c r="H17" s="86"/>
      <c r="I17" s="56">
        <v>0</v>
      </c>
      <c r="J17" s="56">
        <v>0.54200000000000004</v>
      </c>
      <c r="K17" s="56">
        <v>0.03</v>
      </c>
      <c r="L17" s="56">
        <v>0.66400000000000003</v>
      </c>
      <c r="M17" s="86"/>
      <c r="N17" s="85">
        <f t="shared" si="1"/>
        <v>1.2360000000000002</v>
      </c>
      <c r="O17" s="86"/>
      <c r="P17" s="56">
        <v>1.4830000000000001</v>
      </c>
      <c r="Q17" s="56">
        <v>0.94799999999999995</v>
      </c>
      <c r="R17" s="56">
        <v>1.095</v>
      </c>
      <c r="S17" s="57"/>
      <c r="T17" s="85">
        <f t="shared" si="2"/>
        <v>3.5259999999999998</v>
      </c>
    </row>
    <row r="18" spans="1:20" s="58" customFormat="1" ht="16.5" x14ac:dyDescent="0.45">
      <c r="A18" s="55" t="s">
        <v>90</v>
      </c>
      <c r="B18" s="85">
        <v>0</v>
      </c>
      <c r="C18" s="85">
        <v>0</v>
      </c>
      <c r="D18" s="85">
        <v>0.14499999999999999</v>
      </c>
      <c r="E18" s="85">
        <v>0</v>
      </c>
      <c r="F18" s="86"/>
      <c r="G18" s="85">
        <f t="shared" si="0"/>
        <v>0.14499999999999999</v>
      </c>
      <c r="H18" s="86"/>
      <c r="I18" s="85">
        <v>0</v>
      </c>
      <c r="J18" s="85">
        <v>0</v>
      </c>
      <c r="K18" s="85">
        <v>0.373</v>
      </c>
      <c r="L18" s="85">
        <v>1.2629999999999999</v>
      </c>
      <c r="M18" s="86"/>
      <c r="N18" s="85">
        <f t="shared" si="1"/>
        <v>1.6359999999999999</v>
      </c>
      <c r="O18" s="86"/>
      <c r="P18" s="85">
        <v>0</v>
      </c>
      <c r="Q18" s="85">
        <v>1.7989999999999999</v>
      </c>
      <c r="R18" s="85">
        <v>0</v>
      </c>
      <c r="S18" s="57"/>
      <c r="T18" s="85">
        <f t="shared" si="2"/>
        <v>1.7989999999999999</v>
      </c>
    </row>
    <row r="19" spans="1:20" s="58" customFormat="1" ht="16.5" x14ac:dyDescent="0.45">
      <c r="A19" s="55" t="s">
        <v>91</v>
      </c>
      <c r="B19" s="86">
        <v>0.10100000000000001</v>
      </c>
      <c r="C19" s="86">
        <v>-0.88900000000000001</v>
      </c>
      <c r="D19" s="86">
        <v>8.5000000000000006E-2</v>
      </c>
      <c r="E19" s="86">
        <v>0.28000000000000003</v>
      </c>
      <c r="F19" s="86"/>
      <c r="G19" s="86">
        <f t="shared" si="0"/>
        <v>-0.42300000000000004</v>
      </c>
      <c r="H19" s="86"/>
      <c r="I19" s="86">
        <v>4.3999999999999997E-2</v>
      </c>
      <c r="J19" s="86">
        <f>0.605-J17</f>
        <v>6.2999999999999945E-2</v>
      </c>
      <c r="K19" s="86">
        <f>-0.037-K17</f>
        <v>-6.7000000000000004E-2</v>
      </c>
      <c r="L19" s="86">
        <f>2.02-L18-L17</f>
        <v>9.3000000000000083E-2</v>
      </c>
      <c r="M19" s="86"/>
      <c r="N19" s="86">
        <f t="shared" si="1"/>
        <v>0.13300000000000001</v>
      </c>
      <c r="O19" s="86"/>
      <c r="P19" s="86">
        <f>2.034-P17</f>
        <v>0.55099999999999971</v>
      </c>
      <c r="Q19" s="86">
        <f>2.058-Q17</f>
        <v>1.1099999999999999</v>
      </c>
      <c r="R19" s="86">
        <f>2.012-R17</f>
        <v>0.91700000000000004</v>
      </c>
      <c r="S19" s="57"/>
      <c r="T19" s="86">
        <f>SUM(P19:S19)</f>
        <v>2.5779999999999994</v>
      </c>
    </row>
    <row r="20" spans="1:20" s="58" customFormat="1" ht="16.5" x14ac:dyDescent="0.45">
      <c r="A20" s="55" t="s">
        <v>153</v>
      </c>
      <c r="B20" s="86">
        <v>13.512</v>
      </c>
      <c r="C20" s="86">
        <v>10.646000000000001</v>
      </c>
      <c r="D20" s="86">
        <v>13.016</v>
      </c>
      <c r="E20" s="86">
        <v>13.722</v>
      </c>
      <c r="F20" s="86"/>
      <c r="G20" s="86">
        <f t="shared" si="0"/>
        <v>50.896000000000001</v>
      </c>
      <c r="H20" s="86"/>
      <c r="I20" s="86">
        <v>0</v>
      </c>
      <c r="J20" s="86">
        <v>0</v>
      </c>
      <c r="K20" s="86">
        <v>0</v>
      </c>
      <c r="L20" s="86">
        <v>0</v>
      </c>
      <c r="M20" s="86"/>
      <c r="N20" s="86">
        <f t="shared" si="1"/>
        <v>0</v>
      </c>
      <c r="O20" s="86"/>
      <c r="P20" s="86">
        <v>0</v>
      </c>
      <c r="Q20" s="86">
        <v>0</v>
      </c>
      <c r="R20" s="86">
        <v>0</v>
      </c>
      <c r="T20" s="86">
        <v>0</v>
      </c>
    </row>
    <row r="21" spans="1:20" s="58" customFormat="1" ht="16.5" x14ac:dyDescent="0.45">
      <c r="A21" s="55" t="s">
        <v>154</v>
      </c>
      <c r="B21" s="93">
        <v>-1.391</v>
      </c>
      <c r="C21" s="93">
        <v>0.114</v>
      </c>
      <c r="D21" s="93">
        <v>-0.70299999999999996</v>
      </c>
      <c r="E21" s="93">
        <v>-0.745</v>
      </c>
      <c r="F21" s="86"/>
      <c r="G21" s="93">
        <f t="shared" si="0"/>
        <v>-2.7250000000000001</v>
      </c>
      <c r="H21" s="86"/>
      <c r="I21" s="93">
        <v>0</v>
      </c>
      <c r="J21" s="93">
        <v>0</v>
      </c>
      <c r="K21" s="93">
        <v>0</v>
      </c>
      <c r="L21" s="93">
        <v>0</v>
      </c>
      <c r="M21" s="86"/>
      <c r="N21" s="93">
        <f t="shared" si="1"/>
        <v>0</v>
      </c>
      <c r="O21" s="86"/>
      <c r="P21" s="93">
        <v>0</v>
      </c>
      <c r="Q21" s="93">
        <v>0</v>
      </c>
      <c r="R21" s="93">
        <v>0</v>
      </c>
      <c r="T21" s="93">
        <v>0</v>
      </c>
    </row>
    <row r="22" spans="1:20" s="58" customFormat="1" ht="16.899999999999999" x14ac:dyDescent="0.5">
      <c r="A22" s="88" t="s">
        <v>157</v>
      </c>
      <c r="B22" s="62">
        <f>SUM(B9:B21)+B6</f>
        <v>37.452000000000005</v>
      </c>
      <c r="C22" s="62">
        <f>SUM(C9:C21)+C6</f>
        <v>63.605000000000032</v>
      </c>
      <c r="D22" s="62">
        <f>SUM(D9:D21)+D6</f>
        <v>63.392999999999972</v>
      </c>
      <c r="E22" s="62">
        <f>SUM(E9:E21)+E6</f>
        <v>57.055000000000007</v>
      </c>
      <c r="F22" s="137"/>
      <c r="G22" s="62">
        <f t="shared" si="0"/>
        <v>221.50500000000002</v>
      </c>
      <c r="H22" s="137"/>
      <c r="I22" s="62">
        <f>SUM(I9:I21)+I6</f>
        <v>42.64800000000001</v>
      </c>
      <c r="J22" s="62">
        <f>SUM(J9:J21)+J6</f>
        <v>51.79</v>
      </c>
      <c r="K22" s="62">
        <f>SUM(K9:K21)+K6</f>
        <v>61.462999999999994</v>
      </c>
      <c r="L22" s="62">
        <f>SUM(L9:L21)+L6</f>
        <v>51.319000000000003</v>
      </c>
      <c r="M22" s="137"/>
      <c r="N22" s="62">
        <f t="shared" si="1"/>
        <v>207.22000000000003</v>
      </c>
      <c r="O22" s="137"/>
      <c r="P22" s="62">
        <f>SUM(P9:P21)+P6</f>
        <v>43.838999999999963</v>
      </c>
      <c r="Q22" s="62">
        <f>SUM(Q9:Q21)+Q6</f>
        <v>47.672999999999995</v>
      </c>
      <c r="R22" s="62">
        <f>SUM(R9:R21)+R6</f>
        <v>58.596000000000004</v>
      </c>
      <c r="T22" s="62">
        <f>SUM(P22:S22)</f>
        <v>150.10799999999995</v>
      </c>
    </row>
    <row r="23" spans="1:20" s="58" customFormat="1" ht="16.899999999999999" x14ac:dyDescent="0.5">
      <c r="A23" s="88" t="s">
        <v>158</v>
      </c>
      <c r="B23" s="138">
        <v>0.19800000000000001</v>
      </c>
      <c r="C23" s="138">
        <v>0.307</v>
      </c>
      <c r="D23" s="138">
        <v>0.29199999999999998</v>
      </c>
      <c r="E23" s="138">
        <v>0.251</v>
      </c>
      <c r="F23" s="164"/>
      <c r="G23" s="138">
        <v>0.26400000000000001</v>
      </c>
      <c r="H23" s="164"/>
      <c r="I23" s="138">
        <v>0.21099999999999999</v>
      </c>
      <c r="J23" s="138">
        <v>0.24</v>
      </c>
      <c r="K23" s="138">
        <v>0.27100000000000002</v>
      </c>
      <c r="L23" s="138">
        <v>0.217</v>
      </c>
      <c r="M23" s="164"/>
      <c r="N23" s="138">
        <v>0.23499999999999999</v>
      </c>
      <c r="O23" s="164"/>
      <c r="P23" s="138">
        <v>0.2</v>
      </c>
      <c r="Q23" s="138">
        <v>0.21299999999999999</v>
      </c>
      <c r="R23" s="138">
        <v>0.26</v>
      </c>
      <c r="T23" s="138">
        <v>0.22500000000000001</v>
      </c>
    </row>
    <row r="24" spans="1:20" s="58" customFormat="1" ht="16.899999999999999" x14ac:dyDescent="0.5">
      <c r="A24" s="88"/>
      <c r="B24" s="62"/>
      <c r="C24" s="62"/>
      <c r="D24" s="62"/>
      <c r="E24" s="62"/>
      <c r="F24" s="137"/>
      <c r="G24" s="62"/>
      <c r="H24" s="137"/>
      <c r="I24" s="62"/>
      <c r="J24" s="62"/>
      <c r="K24" s="62"/>
      <c r="L24" s="62"/>
      <c r="M24" s="137"/>
      <c r="N24" s="62"/>
      <c r="O24" s="137"/>
      <c r="P24" s="62"/>
      <c r="Q24" s="62"/>
      <c r="R24" s="62"/>
      <c r="T24" s="62"/>
    </row>
    <row r="25" spans="1:20" x14ac:dyDescent="0.3">
      <c r="A25" s="44"/>
    </row>
    <row r="26" spans="1:20" x14ac:dyDescent="0.3">
      <c r="A26" s="44"/>
    </row>
    <row r="27" spans="1:20" x14ac:dyDescent="0.3">
      <c r="A27" s="44"/>
    </row>
    <row r="28" spans="1:20" x14ac:dyDescent="0.3">
      <c r="A28" s="44"/>
    </row>
    <row r="29" spans="1:20" x14ac:dyDescent="0.3">
      <c r="A29" s="44"/>
    </row>
    <row r="30" spans="1:20" x14ac:dyDescent="0.3">
      <c r="A30" s="44"/>
    </row>
    <row r="31" spans="1:20" x14ac:dyDescent="0.3">
      <c r="A31" s="44"/>
    </row>
    <row r="32" spans="1:20" x14ac:dyDescent="0.3">
      <c r="A32" s="44"/>
    </row>
    <row r="33" spans="1:1" x14ac:dyDescent="0.3">
      <c r="A33" s="44"/>
    </row>
    <row r="34" spans="1:1" x14ac:dyDescent="0.3">
      <c r="A34" s="44"/>
    </row>
    <row r="35" spans="1:1" x14ac:dyDescent="0.3">
      <c r="A35" s="44"/>
    </row>
    <row r="36" spans="1:1" x14ac:dyDescent="0.3">
      <c r="A36" s="44"/>
    </row>
    <row r="37" spans="1:1" x14ac:dyDescent="0.3">
      <c r="A37" s="44"/>
    </row>
    <row r="38" spans="1:1" x14ac:dyDescent="0.3">
      <c r="A38" s="44"/>
    </row>
    <row r="39" spans="1:1" x14ac:dyDescent="0.3">
      <c r="A39" s="44"/>
    </row>
    <row r="40" spans="1:1" x14ac:dyDescent="0.3">
      <c r="A40" s="44"/>
    </row>
    <row r="41" spans="1:1" x14ac:dyDescent="0.3">
      <c r="A41" s="44"/>
    </row>
    <row r="42" spans="1:1" x14ac:dyDescent="0.3">
      <c r="A42" s="44"/>
    </row>
    <row r="43" spans="1:1" x14ac:dyDescent="0.3">
      <c r="A43" s="44"/>
    </row>
    <row r="44" spans="1:1" x14ac:dyDescent="0.3">
      <c r="A44" s="44"/>
    </row>
    <row r="45" spans="1:1" x14ac:dyDescent="0.3">
      <c r="A45" s="44"/>
    </row>
    <row r="46" spans="1:1" x14ac:dyDescent="0.3">
      <c r="A46" s="44"/>
    </row>
    <row r="47" spans="1:1" x14ac:dyDescent="0.3">
      <c r="A47" s="44"/>
    </row>
    <row r="48" spans="1:1" x14ac:dyDescent="0.3">
      <c r="A48" s="44"/>
    </row>
    <row r="49" spans="1:1" x14ac:dyDescent="0.3">
      <c r="A49" s="44"/>
    </row>
    <row r="50" spans="1:1" x14ac:dyDescent="0.3">
      <c r="A50" s="44"/>
    </row>
    <row r="51" spans="1:1" x14ac:dyDescent="0.3">
      <c r="A51" s="44"/>
    </row>
    <row r="52" spans="1:1" x14ac:dyDescent="0.3">
      <c r="A52" s="44"/>
    </row>
    <row r="53" spans="1:1" x14ac:dyDescent="0.3">
      <c r="A53" s="44"/>
    </row>
    <row r="54" spans="1:1" x14ac:dyDescent="0.3">
      <c r="A54" s="44"/>
    </row>
    <row r="55" spans="1:1" x14ac:dyDescent="0.3">
      <c r="A55" s="44"/>
    </row>
    <row r="56" spans="1:1" x14ac:dyDescent="0.3">
      <c r="A56" s="44"/>
    </row>
    <row r="57" spans="1:1" x14ac:dyDescent="0.3">
      <c r="A57" s="44"/>
    </row>
    <row r="58" spans="1:1" x14ac:dyDescent="0.3">
      <c r="A58" s="44"/>
    </row>
    <row r="59" spans="1:1" x14ac:dyDescent="0.3">
      <c r="A59" s="44"/>
    </row>
    <row r="60" spans="1:1" x14ac:dyDescent="0.3">
      <c r="A60" s="44"/>
    </row>
    <row r="61" spans="1:1" x14ac:dyDescent="0.3">
      <c r="A61" s="44"/>
    </row>
    <row r="62" spans="1:1" x14ac:dyDescent="0.3">
      <c r="A62" s="44"/>
    </row>
    <row r="63" spans="1:1" x14ac:dyDescent="0.3">
      <c r="A63" s="44"/>
    </row>
    <row r="64" spans="1:1" x14ac:dyDescent="0.3">
      <c r="A64" s="44"/>
    </row>
    <row r="65" spans="1:1" x14ac:dyDescent="0.3">
      <c r="A65" s="44"/>
    </row>
    <row r="66" spans="1:1" x14ac:dyDescent="0.3">
      <c r="A66" s="44"/>
    </row>
    <row r="67" spans="1:1" x14ac:dyDescent="0.3">
      <c r="A67" s="44"/>
    </row>
    <row r="68" spans="1:1" x14ac:dyDescent="0.3">
      <c r="A68" s="44"/>
    </row>
    <row r="69" spans="1:1" x14ac:dyDescent="0.3">
      <c r="A69" s="44"/>
    </row>
    <row r="70" spans="1:1" x14ac:dyDescent="0.3">
      <c r="A70" s="44"/>
    </row>
    <row r="71" spans="1:1" x14ac:dyDescent="0.3">
      <c r="A71" s="44"/>
    </row>
    <row r="72" spans="1:1" x14ac:dyDescent="0.3">
      <c r="A72" s="44"/>
    </row>
    <row r="73" spans="1:1" x14ac:dyDescent="0.3">
      <c r="A73" s="44"/>
    </row>
    <row r="74" spans="1:1" x14ac:dyDescent="0.3">
      <c r="A74" s="44"/>
    </row>
    <row r="75" spans="1:1" x14ac:dyDescent="0.3">
      <c r="A75" s="44"/>
    </row>
    <row r="76" spans="1:1" x14ac:dyDescent="0.3">
      <c r="A76" s="44"/>
    </row>
    <row r="77" spans="1:1" x14ac:dyDescent="0.3">
      <c r="A77" s="44"/>
    </row>
    <row r="78" spans="1:1" x14ac:dyDescent="0.3">
      <c r="A78" s="44"/>
    </row>
    <row r="79" spans="1:1" x14ac:dyDescent="0.3">
      <c r="A79" s="44"/>
    </row>
    <row r="80" spans="1:1" x14ac:dyDescent="0.3">
      <c r="A80" s="44"/>
    </row>
    <row r="81" spans="1:1" x14ac:dyDescent="0.3">
      <c r="A81" s="44"/>
    </row>
    <row r="82" spans="1:1" x14ac:dyDescent="0.3">
      <c r="A82" s="44"/>
    </row>
    <row r="83" spans="1:1" x14ac:dyDescent="0.3">
      <c r="A83" s="44"/>
    </row>
    <row r="84" spans="1:1" x14ac:dyDescent="0.3">
      <c r="A84" s="44"/>
    </row>
    <row r="85" spans="1:1" x14ac:dyDescent="0.3">
      <c r="A85" s="44"/>
    </row>
    <row r="86" spans="1:1" x14ac:dyDescent="0.3">
      <c r="A86" s="44"/>
    </row>
    <row r="87" spans="1:1" x14ac:dyDescent="0.3">
      <c r="A87" s="44"/>
    </row>
    <row r="88" spans="1:1" x14ac:dyDescent="0.3">
      <c r="A88" s="44"/>
    </row>
    <row r="89" spans="1:1" x14ac:dyDescent="0.3">
      <c r="A89" s="44"/>
    </row>
    <row r="90" spans="1:1" x14ac:dyDescent="0.3">
      <c r="A90" s="44"/>
    </row>
    <row r="91" spans="1:1" x14ac:dyDescent="0.3">
      <c r="A91" s="44"/>
    </row>
    <row r="92" spans="1:1" x14ac:dyDescent="0.3">
      <c r="A92" s="44"/>
    </row>
    <row r="93" spans="1:1" x14ac:dyDescent="0.3">
      <c r="A93" s="44"/>
    </row>
    <row r="94" spans="1:1" x14ac:dyDescent="0.3">
      <c r="A94" s="44"/>
    </row>
    <row r="95" spans="1:1" x14ac:dyDescent="0.3">
      <c r="A95" s="44"/>
    </row>
    <row r="96" spans="1:1" x14ac:dyDescent="0.3">
      <c r="A96" s="44"/>
    </row>
    <row r="97" spans="1:1" x14ac:dyDescent="0.3">
      <c r="A97" s="44"/>
    </row>
    <row r="98" spans="1:1" x14ac:dyDescent="0.3">
      <c r="A98" s="44"/>
    </row>
    <row r="99" spans="1:1" x14ac:dyDescent="0.3">
      <c r="A99" s="44"/>
    </row>
    <row r="100" spans="1:1" x14ac:dyDescent="0.3">
      <c r="A100" s="44"/>
    </row>
    <row r="101" spans="1:1" x14ac:dyDescent="0.3">
      <c r="A101" s="44"/>
    </row>
    <row r="102" spans="1:1" x14ac:dyDescent="0.3">
      <c r="A102" s="44"/>
    </row>
    <row r="103" spans="1:1" x14ac:dyDescent="0.3">
      <c r="A103" s="44"/>
    </row>
    <row r="104" spans="1:1" x14ac:dyDescent="0.3">
      <c r="A104" s="44"/>
    </row>
    <row r="105" spans="1:1" x14ac:dyDescent="0.3">
      <c r="A105" s="44"/>
    </row>
    <row r="106" spans="1:1" x14ac:dyDescent="0.3">
      <c r="A106" s="44"/>
    </row>
    <row r="107" spans="1:1" x14ac:dyDescent="0.3">
      <c r="A107" s="44"/>
    </row>
    <row r="108" spans="1:1" x14ac:dyDescent="0.3">
      <c r="A108" s="44"/>
    </row>
    <row r="109" spans="1:1" x14ac:dyDescent="0.3">
      <c r="A109" s="44"/>
    </row>
    <row r="110" spans="1:1" x14ac:dyDescent="0.3">
      <c r="A110" s="44"/>
    </row>
    <row r="111" spans="1:1" x14ac:dyDescent="0.3">
      <c r="A111" s="44"/>
    </row>
    <row r="112" spans="1:1" x14ac:dyDescent="0.3">
      <c r="A112" s="44"/>
    </row>
    <row r="113" spans="1:1" x14ac:dyDescent="0.3">
      <c r="A113" s="44"/>
    </row>
    <row r="114" spans="1:1" x14ac:dyDescent="0.3">
      <c r="A114" s="44"/>
    </row>
    <row r="115" spans="1:1" x14ac:dyDescent="0.3">
      <c r="A115" s="44"/>
    </row>
    <row r="116" spans="1:1" x14ac:dyDescent="0.3">
      <c r="A116" s="44"/>
    </row>
  </sheetData>
  <mergeCells count="3">
    <mergeCell ref="B3:E3"/>
    <mergeCell ref="I3:L3"/>
    <mergeCell ref="P3:R3"/>
  </mergeCells>
  <pageMargins left="0.25" right="0.25" top="0.75" bottom="0.75" header="0.3" footer="0.3"/>
  <pageSetup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5CFB-A52D-4EDF-AF22-180773DB239B}">
  <sheetPr>
    <tabColor rgb="FF0079FF"/>
    <pageSetUpPr fitToPage="1"/>
  </sheetPr>
  <dimension ref="A1:Z117"/>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61.73046875" style="67" bestFit="1" customWidth="1"/>
    <col min="2" max="5" width="22.265625" style="44" hidden="1" customWidth="1" outlineLevel="1"/>
    <col min="6" max="6" width="1.59765625" style="44" hidden="1" customWidth="1" outlineLevel="1"/>
    <col min="7" max="7" width="22.265625" style="44" customWidth="1" collapsed="1"/>
    <col min="8" max="8" width="1.59765625" style="44" customWidth="1"/>
    <col min="9" max="9" width="20.73046875" style="44" hidden="1" customWidth="1" outlineLevel="1"/>
    <col min="10" max="12" width="21.59765625" style="44" hidden="1" customWidth="1" outlineLevel="1"/>
    <col min="13" max="13" width="1.59765625" style="44" hidden="1" customWidth="1" outlineLevel="1"/>
    <col min="14" max="14" width="20.73046875" style="44" customWidth="1" collapsed="1"/>
    <col min="15" max="15" width="1.59765625" style="44" customWidth="1"/>
    <col min="16" max="18" width="20.73046875" style="44" customWidth="1"/>
    <col min="19" max="19" width="1.73046875" style="44" customWidth="1"/>
    <col min="20" max="20" width="20.73046875" style="44" customWidth="1"/>
    <col min="21" max="26" width="12" style="44" customWidth="1"/>
    <col min="27" max="16384" width="9.1328125" style="44"/>
  </cols>
  <sheetData>
    <row r="1" spans="1:26" ht="17.649999999999999" x14ac:dyDescent="0.5">
      <c r="A1" s="5" t="s">
        <v>163</v>
      </c>
    </row>
    <row r="2" spans="1:26" x14ac:dyDescent="0.3">
      <c r="A2" s="45"/>
      <c r="B2" s="45"/>
      <c r="C2" s="45"/>
      <c r="D2" s="45"/>
      <c r="E2" s="45"/>
      <c r="F2" s="45"/>
      <c r="G2" s="45"/>
      <c r="H2" s="45"/>
      <c r="I2" s="45"/>
      <c r="J2" s="45"/>
      <c r="K2" s="45"/>
      <c r="L2" s="45"/>
      <c r="M2" s="45"/>
      <c r="N2" s="45"/>
      <c r="O2" s="45"/>
      <c r="P2" s="45"/>
      <c r="Q2" s="45"/>
      <c r="R2" s="45"/>
      <c r="S2" s="45"/>
      <c r="T2" s="45"/>
      <c r="U2" s="45"/>
      <c r="V2" s="45"/>
      <c r="W2" s="45"/>
      <c r="X2" s="45"/>
      <c r="Y2" s="45"/>
      <c r="Z2" s="45"/>
    </row>
    <row r="3" spans="1:26" s="7" customFormat="1" ht="30" customHeight="1" x14ac:dyDescent="0.4">
      <c r="A3" s="48"/>
      <c r="B3" s="319" t="s">
        <v>10</v>
      </c>
      <c r="C3" s="319"/>
      <c r="D3" s="319"/>
      <c r="E3" s="319"/>
      <c r="F3" s="147"/>
      <c r="G3" s="47" t="s">
        <v>247</v>
      </c>
      <c r="H3" s="147"/>
      <c r="I3" s="319" t="s">
        <v>10</v>
      </c>
      <c r="J3" s="319"/>
      <c r="K3" s="319"/>
      <c r="L3" s="319"/>
      <c r="M3" s="147"/>
      <c r="N3" s="47" t="s">
        <v>247</v>
      </c>
      <c r="O3" s="147"/>
      <c r="P3" s="319" t="s">
        <v>10</v>
      </c>
      <c r="Q3" s="319"/>
      <c r="R3" s="319"/>
      <c r="T3" s="47" t="s">
        <v>289</v>
      </c>
    </row>
    <row r="4" spans="1:26" s="7" customFormat="1" ht="30" customHeight="1" x14ac:dyDescent="0.4">
      <c r="A4" s="48" t="s">
        <v>13</v>
      </c>
      <c r="B4" s="49" t="s">
        <v>43</v>
      </c>
      <c r="C4" s="49" t="s">
        <v>229</v>
      </c>
      <c r="D4" s="49" t="s">
        <v>241</v>
      </c>
      <c r="E4" s="49" t="s">
        <v>44</v>
      </c>
      <c r="F4" s="148"/>
      <c r="G4" s="49" t="s">
        <v>44</v>
      </c>
      <c r="H4" s="148"/>
      <c r="I4" s="49" t="s">
        <v>103</v>
      </c>
      <c r="J4" s="49" t="s">
        <v>230</v>
      </c>
      <c r="K4" s="49" t="s">
        <v>242</v>
      </c>
      <c r="L4" s="49" t="s">
        <v>246</v>
      </c>
      <c r="M4" s="148"/>
      <c r="N4" s="49" t="s">
        <v>246</v>
      </c>
      <c r="O4" s="148"/>
      <c r="P4" s="49" t="s">
        <v>267</v>
      </c>
      <c r="Q4" s="49" t="s">
        <v>277</v>
      </c>
      <c r="R4" s="49" t="s">
        <v>288</v>
      </c>
      <c r="T4" s="49" t="s">
        <v>288</v>
      </c>
    </row>
    <row r="5" spans="1:26" s="58" customFormat="1" ht="16.899999999999999" x14ac:dyDescent="0.5">
      <c r="A5" s="77"/>
    </row>
    <row r="6" spans="1:26" s="58" customFormat="1" ht="16.899999999999999" x14ac:dyDescent="0.5">
      <c r="A6" s="51" t="s">
        <v>269</v>
      </c>
      <c r="B6" s="52">
        <v>-14.417999999999999</v>
      </c>
      <c r="C6" s="52">
        <v>-9.3699999999999992</v>
      </c>
      <c r="D6" s="52">
        <v>-2.101</v>
      </c>
      <c r="E6" s="52">
        <v>-22.712</v>
      </c>
      <c r="F6" s="145"/>
      <c r="G6" s="52">
        <f>+B6+C6+D6+E6</f>
        <v>-48.600999999999999</v>
      </c>
      <c r="H6" s="145"/>
      <c r="I6" s="236">
        <v>1.0940000000000001</v>
      </c>
      <c r="J6" s="236">
        <v>5.3159999999999998</v>
      </c>
      <c r="K6" s="236">
        <v>13.500999999999999</v>
      </c>
      <c r="L6" s="236">
        <v>-4.26</v>
      </c>
      <c r="M6" s="145"/>
      <c r="N6" s="236">
        <f>+I6+J6+K6+L6</f>
        <v>15.651000000000002</v>
      </c>
      <c r="O6" s="145"/>
      <c r="P6" s="236">
        <v>0.57399999999999995</v>
      </c>
      <c r="Q6" s="236">
        <v>-2.2360000000000002</v>
      </c>
      <c r="R6" s="236">
        <v>4.226</v>
      </c>
      <c r="S6" s="91"/>
      <c r="T6" s="236">
        <f>SUM(P6:S6)</f>
        <v>2.5639999999999996</v>
      </c>
      <c r="U6" s="91"/>
      <c r="V6" s="91"/>
      <c r="W6" s="91"/>
      <c r="X6" s="91"/>
    </row>
    <row r="7" spans="1:26" s="58" customFormat="1" ht="16.899999999999999" x14ac:dyDescent="0.5">
      <c r="A7" s="51" t="s">
        <v>186</v>
      </c>
      <c r="B7" s="87">
        <f>B6/'Revenue Metrics'!C12</f>
        <v>-7.7572431603583236E-2</v>
      </c>
      <c r="C7" s="87">
        <f>C6/'Revenue Metrics'!D12</f>
        <v>-4.5913367306938457E-2</v>
      </c>
      <c r="D7" s="87">
        <f>D6/'Revenue Metrics'!E12</f>
        <v>-9.7620131770915601E-3</v>
      </c>
      <c r="E7" s="87">
        <f>E6/'Revenue Metrics'!F12</f>
        <v>-0.10090634441087613</v>
      </c>
      <c r="F7" s="164"/>
      <c r="G7" s="87">
        <f>G6/'Revenue Metrics'!H12</f>
        <v>-5.8538001341769369E-2</v>
      </c>
      <c r="H7" s="164"/>
      <c r="I7" s="87">
        <f>I6/'Revenue Metrics'!J12</f>
        <v>5.4453868514315303E-3</v>
      </c>
      <c r="J7" s="87">
        <f>J6/'Revenue Metrics'!K12</f>
        <v>2.476970603447071E-2</v>
      </c>
      <c r="K7" s="87">
        <f>K6/'Revenue Metrics'!L12</f>
        <v>6.0052486433591318E-2</v>
      </c>
      <c r="L7" s="87">
        <f>L6/'Revenue Metrics'!M12</f>
        <v>-1.8192067233780872E-2</v>
      </c>
      <c r="M7" s="164"/>
      <c r="N7" s="87">
        <f>N6/'Revenue Metrics'!O12</f>
        <v>1.78968998603788E-2</v>
      </c>
      <c r="O7" s="164"/>
      <c r="P7" s="87">
        <f>P6/'Revenue Metrics'!Q12</f>
        <v>2.6341633548410781E-3</v>
      </c>
      <c r="Q7" s="87">
        <f>Q6/'Revenue Metrics'!R12</f>
        <v>-1.0031449221396239E-2</v>
      </c>
      <c r="R7" s="87">
        <f>R6/'Revenue Metrics'!S12</f>
        <v>1.8766125057173181E-2</v>
      </c>
      <c r="S7" s="62"/>
      <c r="T7" s="87">
        <f>T6/'Revenue Metrics'!U12</f>
        <v>3.8498614109952274E-3</v>
      </c>
      <c r="U7" s="62"/>
      <c r="V7" s="62"/>
      <c r="W7" s="62"/>
      <c r="X7" s="62"/>
    </row>
    <row r="8" spans="1:26" s="58" customFormat="1" ht="16.899999999999999" x14ac:dyDescent="0.5">
      <c r="A8" s="51"/>
      <c r="B8" s="87"/>
      <c r="C8" s="87"/>
      <c r="D8" s="87"/>
      <c r="E8" s="87"/>
      <c r="F8" s="164"/>
      <c r="G8" s="87"/>
      <c r="H8" s="164"/>
      <c r="I8" s="87"/>
      <c r="J8" s="87"/>
      <c r="K8" s="87"/>
      <c r="L8" s="87"/>
      <c r="M8" s="164"/>
      <c r="N8" s="87"/>
      <c r="O8" s="164"/>
      <c r="P8" s="87"/>
      <c r="Q8" s="87"/>
      <c r="R8" s="87"/>
      <c r="S8" s="62"/>
      <c r="T8" s="87"/>
      <c r="U8" s="62"/>
      <c r="V8" s="62"/>
      <c r="W8" s="62"/>
      <c r="X8" s="62"/>
    </row>
    <row r="9" spans="1:26" s="58" customFormat="1" ht="16.899999999999999" x14ac:dyDescent="0.5">
      <c r="A9" s="55" t="s">
        <v>219</v>
      </c>
      <c r="B9" s="56">
        <f>'Other Expense, Tax &amp; NI'!B17</f>
        <v>0.34699999999999998</v>
      </c>
      <c r="C9" s="56">
        <f>'Other Expense, Tax &amp; NI'!C17</f>
        <v>8.3450000000000006</v>
      </c>
      <c r="D9" s="56">
        <v>1.0840000000000001</v>
      </c>
      <c r="E9" s="56">
        <v>-2.839</v>
      </c>
      <c r="F9" s="149"/>
      <c r="G9" s="56">
        <f t="shared" ref="G9:G22" si="0">+B9+C9+D9+E9</f>
        <v>6.9369999999999994</v>
      </c>
      <c r="H9" s="149"/>
      <c r="I9" s="56">
        <f>'Other Expense, Tax &amp; NI'!I17</f>
        <v>-7.1999999999999995E-2</v>
      </c>
      <c r="J9" s="56">
        <f>'Other Expense, Tax &amp; NI'!J17</f>
        <v>4.2009999999999996</v>
      </c>
      <c r="K9" s="56">
        <f>'Other Expense, Tax &amp; NI'!K17</f>
        <v>9.3490000000000002</v>
      </c>
      <c r="L9" s="56">
        <v>10.375</v>
      </c>
      <c r="M9" s="149"/>
      <c r="N9" s="56">
        <f t="shared" ref="N9:N22" si="1">+I9+J9+K9+L9</f>
        <v>23.853000000000002</v>
      </c>
      <c r="O9" s="149"/>
      <c r="P9" s="56">
        <v>0.29599999999999999</v>
      </c>
      <c r="Q9" s="56">
        <v>2.8479999999999999</v>
      </c>
      <c r="R9" s="56">
        <v>17.395</v>
      </c>
      <c r="S9" s="62"/>
      <c r="T9" s="56">
        <f t="shared" ref="T9:T18" si="2">SUM(P9:S9)</f>
        <v>20.538999999999998</v>
      </c>
      <c r="U9" s="62"/>
      <c r="V9" s="62"/>
      <c r="W9" s="62"/>
      <c r="X9" s="62"/>
    </row>
    <row r="10" spans="1:26" s="58" customFormat="1" ht="16.899999999999999" x14ac:dyDescent="0.5">
      <c r="A10" s="55" t="s">
        <v>187</v>
      </c>
      <c r="B10" s="56">
        <f>-'Other Expense, Tax &amp; NI'!B7</f>
        <v>12.03</v>
      </c>
      <c r="C10" s="56">
        <f>-'Other Expense, Tax &amp; NI'!C7</f>
        <v>22.597999999999999</v>
      </c>
      <c r="D10" s="56">
        <v>21.074000000000002</v>
      </c>
      <c r="E10" s="56">
        <v>43.384</v>
      </c>
      <c r="F10" s="149"/>
      <c r="G10" s="56">
        <f t="shared" si="0"/>
        <v>99.085999999999999</v>
      </c>
      <c r="H10" s="149"/>
      <c r="I10" s="56">
        <f>-'Other Expense, Tax &amp; NI'!I7</f>
        <v>3.42</v>
      </c>
      <c r="J10" s="56">
        <f>-'Other Expense, Tax &amp; NI'!J7</f>
        <v>2.02</v>
      </c>
      <c r="K10" s="56">
        <f>-'Other Expense, Tax &amp; NI'!K7</f>
        <v>1.8180000000000001</v>
      </c>
      <c r="L10" s="56">
        <v>8.1000000000000003E-2</v>
      </c>
      <c r="M10" s="149"/>
      <c r="N10" s="56">
        <f t="shared" si="1"/>
        <v>7.3389999999999995</v>
      </c>
      <c r="O10" s="149"/>
      <c r="P10" s="56">
        <v>-0.372</v>
      </c>
      <c r="Q10" s="56">
        <v>0.89800000000000002</v>
      </c>
      <c r="R10" s="56">
        <v>5.7000000000000002E-2</v>
      </c>
      <c r="S10" s="62"/>
      <c r="T10" s="56">
        <f t="shared" si="2"/>
        <v>0.58300000000000007</v>
      </c>
      <c r="U10" s="62"/>
      <c r="V10" s="62"/>
      <c r="W10" s="62"/>
      <c r="X10" s="62"/>
    </row>
    <row r="11" spans="1:26" s="58" customFormat="1" ht="16.899999999999999" x14ac:dyDescent="0.5">
      <c r="A11" s="55" t="s">
        <v>196</v>
      </c>
      <c r="B11" s="56">
        <v>19.024999999999999</v>
      </c>
      <c r="C11" s="56">
        <v>18.861000000000001</v>
      </c>
      <c r="D11" s="56">
        <v>18.587</v>
      </c>
      <c r="E11" s="56">
        <v>18.52</v>
      </c>
      <c r="F11" s="149"/>
      <c r="G11" s="56">
        <f t="shared" si="0"/>
        <v>74.992999999999995</v>
      </c>
      <c r="H11" s="149"/>
      <c r="I11" s="56">
        <v>18.280999999999999</v>
      </c>
      <c r="J11" s="56">
        <v>17.829999999999998</v>
      </c>
      <c r="K11" s="56">
        <v>18.585000000000001</v>
      </c>
      <c r="L11" s="56">
        <v>17.882999999999999</v>
      </c>
      <c r="M11" s="149"/>
      <c r="N11" s="56">
        <f t="shared" si="1"/>
        <v>72.578999999999994</v>
      </c>
      <c r="O11" s="149"/>
      <c r="P11" s="56">
        <v>17.399000000000001</v>
      </c>
      <c r="Q11" s="56">
        <v>16.641999999999999</v>
      </c>
      <c r="R11" s="56">
        <v>16.158000000000001</v>
      </c>
      <c r="S11" s="62"/>
      <c r="T11" s="56">
        <f t="shared" si="2"/>
        <v>50.198999999999998</v>
      </c>
      <c r="U11" s="62"/>
      <c r="V11" s="62"/>
      <c r="W11" s="62"/>
      <c r="X11" s="62"/>
    </row>
    <row r="12" spans="1:26" s="58" customFormat="1" ht="16.899999999999999" x14ac:dyDescent="0.5">
      <c r="A12" s="55" t="s">
        <v>79</v>
      </c>
      <c r="B12" s="56">
        <f>'Revenue Metrics'!C20</f>
        <v>3.2620000000000005</v>
      </c>
      <c r="C12" s="56">
        <f>'Revenue Metrics'!D20</f>
        <v>3.0660000000000309</v>
      </c>
      <c r="D12" s="56">
        <f>'Revenue Metrics'!E20</f>
        <v>2.2269999999999754</v>
      </c>
      <c r="E12" s="56">
        <f>'Revenue Metrics'!F20</f>
        <v>1.7810000000000059</v>
      </c>
      <c r="F12" s="149"/>
      <c r="G12" s="56">
        <f t="shared" si="0"/>
        <v>10.336000000000013</v>
      </c>
      <c r="H12" s="149"/>
      <c r="I12" s="56">
        <f>'Revenue Metrics'!J20</f>
        <v>1.0390000000000157</v>
      </c>
      <c r="J12" s="56">
        <f>'Revenue Metrics'!K20</f>
        <v>1.0130000000000052</v>
      </c>
      <c r="K12" s="56">
        <f>'Revenue Metrics'!L20</f>
        <v>2.1080000000000041</v>
      </c>
      <c r="L12" s="56">
        <f>'Revenue Metrics'!M20</f>
        <v>2.0109999999999957</v>
      </c>
      <c r="M12" s="149"/>
      <c r="N12" s="56">
        <f t="shared" si="1"/>
        <v>6.1710000000000207</v>
      </c>
      <c r="O12" s="149"/>
      <c r="P12" s="56">
        <f>'Revenue Metrics'!Q20</f>
        <v>1.3429999999999609</v>
      </c>
      <c r="Q12" s="56">
        <f>'Revenue Metrics'!R20</f>
        <v>0.73199999999999932</v>
      </c>
      <c r="R12" s="56">
        <v>0.42299999999999999</v>
      </c>
      <c r="S12" s="62"/>
      <c r="T12" s="56">
        <f t="shared" si="2"/>
        <v>2.4979999999999603</v>
      </c>
      <c r="U12" s="62"/>
      <c r="V12" s="62"/>
      <c r="W12" s="62"/>
      <c r="X12" s="62"/>
    </row>
    <row r="13" spans="1:26" s="58" customFormat="1" ht="16.5" x14ac:dyDescent="0.45">
      <c r="A13" s="55" t="s">
        <v>88</v>
      </c>
      <c r="B13" s="85">
        <f>'Operating Margins'!B12</f>
        <v>10.678000000000001</v>
      </c>
      <c r="C13" s="85">
        <f>'Operating Margins'!C12</f>
        <v>13.329000000000001</v>
      </c>
      <c r="D13" s="85">
        <f>'Operating Margins'!D12</f>
        <v>15.529</v>
      </c>
      <c r="E13" s="85">
        <f>'Operating Margins'!E12</f>
        <v>5.6639999999999997</v>
      </c>
      <c r="F13" s="86"/>
      <c r="G13" s="85">
        <f t="shared" si="0"/>
        <v>45.2</v>
      </c>
      <c r="H13" s="86"/>
      <c r="I13" s="85">
        <f>'Operating Margins'!I12</f>
        <v>16.401</v>
      </c>
      <c r="J13" s="85">
        <f>'Operating Margins'!J12</f>
        <v>18.093</v>
      </c>
      <c r="K13" s="85">
        <f>'Operating Margins'!K12</f>
        <v>16.594999999999999</v>
      </c>
      <c r="L13" s="85">
        <f>'Operating Margins'!L12</f>
        <v>14.176</v>
      </c>
      <c r="M13" s="86"/>
      <c r="N13" s="85">
        <f t="shared" si="1"/>
        <v>65.265000000000001</v>
      </c>
      <c r="O13" s="86"/>
      <c r="P13" s="85">
        <f>'Operating Margins'!P12</f>
        <v>18.369</v>
      </c>
      <c r="Q13" s="85">
        <f>'Operating Margins'!Q12</f>
        <v>25.693999999999999</v>
      </c>
      <c r="R13" s="85">
        <f>'Operating Margins'!R12</f>
        <v>19.899000000000001</v>
      </c>
      <c r="T13" s="85">
        <f t="shared" si="2"/>
        <v>63.962000000000003</v>
      </c>
    </row>
    <row r="14" spans="1:26" s="58" customFormat="1" ht="16.5" x14ac:dyDescent="0.45">
      <c r="A14" s="55" t="s">
        <v>226</v>
      </c>
      <c r="B14" s="85">
        <f>'Operating Margins'!B13</f>
        <v>-3.3530000000000002</v>
      </c>
      <c r="C14" s="85">
        <f>'Operating Margins'!C13</f>
        <v>3.214</v>
      </c>
      <c r="D14" s="85">
        <f>'Operating Margins'!D13</f>
        <v>0.65800000000000003</v>
      </c>
      <c r="E14" s="85">
        <f>'Operating Margins'!E13</f>
        <v>2.895</v>
      </c>
      <c r="F14" s="86"/>
      <c r="G14" s="85">
        <f t="shared" si="0"/>
        <v>3.4139999999999997</v>
      </c>
      <c r="H14" s="86"/>
      <c r="I14" s="85">
        <f>'Operating Margins'!I13</f>
        <v>1.6930000000000001</v>
      </c>
      <c r="J14" s="85">
        <f>'Operating Margins'!J13</f>
        <v>3.4239999999999999</v>
      </c>
      <c r="K14" s="85">
        <f>'Operating Margins'!K13</f>
        <v>2.8069999999999999</v>
      </c>
      <c r="L14" s="85">
        <f>'Operating Margins'!L13</f>
        <v>2.492</v>
      </c>
      <c r="M14" s="86"/>
      <c r="N14" s="85">
        <f t="shared" si="1"/>
        <v>10.416</v>
      </c>
      <c r="O14" s="86"/>
      <c r="P14" s="85">
        <f>'Operating Margins'!P13</f>
        <v>1.8240000000000001</v>
      </c>
      <c r="Q14" s="85">
        <f>'Operating Margins'!Q13</f>
        <v>3.9E-2</v>
      </c>
      <c r="R14" s="85">
        <f>'Operating Margins'!R13</f>
        <v>1.1719999999999999</v>
      </c>
      <c r="T14" s="85">
        <f t="shared" si="2"/>
        <v>3.0350000000000001</v>
      </c>
    </row>
    <row r="15" spans="1:26" s="58" customFormat="1" ht="16.5" x14ac:dyDescent="0.45">
      <c r="A15" s="55" t="s">
        <v>89</v>
      </c>
      <c r="B15" s="85">
        <f>'Operating Margins'!B14</f>
        <v>4.5640000000000001</v>
      </c>
      <c r="C15" s="85">
        <f>'Operating Margins'!C14</f>
        <v>0.64400000000000002</v>
      </c>
      <c r="D15" s="85">
        <f>'Operating Margins'!D14</f>
        <v>0.317</v>
      </c>
      <c r="E15" s="85">
        <f>'Operating Margins'!E14</f>
        <v>1.5760000000000001</v>
      </c>
      <c r="F15" s="86"/>
      <c r="G15" s="85">
        <f t="shared" si="0"/>
        <v>7.1010000000000009</v>
      </c>
      <c r="H15" s="86"/>
      <c r="I15" s="85">
        <f>'Operating Margins'!I14-0.001</f>
        <v>1.238</v>
      </c>
      <c r="J15" s="85">
        <f>'Operating Margins'!J14+0.001</f>
        <v>0.66100000000000014</v>
      </c>
      <c r="K15" s="85">
        <f>0.995-K17-0.026</f>
        <v>0.42999999999999994</v>
      </c>
      <c r="L15" s="85">
        <f>11.367-L17-0.036-0.002</f>
        <v>3.5580000000000012</v>
      </c>
      <c r="M15" s="86"/>
      <c r="N15" s="85">
        <f t="shared" si="1"/>
        <v>5.8870000000000005</v>
      </c>
      <c r="O15" s="86"/>
      <c r="P15" s="85">
        <f>'Operating Margins'!P14-0.068-0.079-0.009</f>
        <v>2.9929999999999999</v>
      </c>
      <c r="Q15" s="85">
        <v>3.7490000000000001</v>
      </c>
      <c r="R15" s="85">
        <v>2.3479999999999999</v>
      </c>
      <c r="T15" s="85">
        <f t="shared" si="2"/>
        <v>9.09</v>
      </c>
    </row>
    <row r="16" spans="1:26" s="58" customFormat="1" ht="16.5" x14ac:dyDescent="0.45">
      <c r="A16" s="55" t="s">
        <v>236</v>
      </c>
      <c r="B16" s="85">
        <f>'Operating Margins'!B15</f>
        <v>0</v>
      </c>
      <c r="C16" s="85">
        <f>'Operating Margins'!C15</f>
        <v>0</v>
      </c>
      <c r="D16" s="85">
        <f>'Operating Margins'!D15</f>
        <v>0</v>
      </c>
      <c r="E16" s="85">
        <f>'Operating Margins'!E15</f>
        <v>0</v>
      </c>
      <c r="F16" s="86"/>
      <c r="G16" s="85">
        <f t="shared" si="0"/>
        <v>0</v>
      </c>
      <c r="H16" s="86"/>
      <c r="I16" s="85">
        <v>5.6959999999999997</v>
      </c>
      <c r="J16" s="85">
        <v>3.218</v>
      </c>
      <c r="K16" s="85">
        <v>1.915</v>
      </c>
      <c r="L16" s="85">
        <v>1.74</v>
      </c>
      <c r="M16" s="86"/>
      <c r="N16" s="85">
        <f t="shared" si="1"/>
        <v>12.569000000000001</v>
      </c>
      <c r="O16" s="86"/>
      <c r="P16" s="85">
        <v>0.59099999999999997</v>
      </c>
      <c r="Q16" s="85">
        <v>0.26</v>
      </c>
      <c r="R16" s="85">
        <v>0.29099999999999998</v>
      </c>
      <c r="T16" s="85">
        <f t="shared" si="2"/>
        <v>1.1419999999999999</v>
      </c>
    </row>
    <row r="17" spans="1:20" s="58" customFormat="1" ht="16.5" x14ac:dyDescent="0.45">
      <c r="A17" s="58" t="s">
        <v>264</v>
      </c>
      <c r="B17" s="85">
        <f>'Operating Margins'!B16</f>
        <v>0</v>
      </c>
      <c r="C17" s="85">
        <f>'Operating Margins'!C16</f>
        <v>0</v>
      </c>
      <c r="D17" s="85">
        <f>'Operating Margins'!D16</f>
        <v>0.185</v>
      </c>
      <c r="E17" s="85">
        <f>'Operating Margins'!E16</f>
        <v>2.2149999999999999</v>
      </c>
      <c r="F17" s="85">
        <f>'Operating Margins'!F16</f>
        <v>0</v>
      </c>
      <c r="G17" s="85">
        <f t="shared" si="0"/>
        <v>2.4</v>
      </c>
      <c r="H17" s="85"/>
      <c r="I17" s="85">
        <f>'Operating Margins'!I16</f>
        <v>1.6E-2</v>
      </c>
      <c r="J17" s="85">
        <f>'Operating Margins'!J16</f>
        <v>1.468</v>
      </c>
      <c r="K17" s="85">
        <f>'Operating Margins'!K16</f>
        <v>0.53900000000000003</v>
      </c>
      <c r="L17" s="85">
        <f>'Operating Margins'!L16</f>
        <v>7.7709999999999999</v>
      </c>
      <c r="M17" s="85"/>
      <c r="N17" s="85">
        <f t="shared" si="1"/>
        <v>9.7940000000000005</v>
      </c>
      <c r="O17" s="85"/>
      <c r="P17" s="85">
        <f>'Operating Margins'!P16</f>
        <v>5.548</v>
      </c>
      <c r="Q17" s="85">
        <f>'Operating Margins'!Q16</f>
        <v>1.5580000000000001</v>
      </c>
      <c r="R17" s="85">
        <f>'Operating Margins'!R16</f>
        <v>0.72499999999999998</v>
      </c>
      <c r="T17" s="85">
        <f t="shared" si="2"/>
        <v>7.8309999999999995</v>
      </c>
    </row>
    <row r="18" spans="1:20" s="58" customFormat="1" ht="16.5" x14ac:dyDescent="0.45">
      <c r="A18" s="58" t="s">
        <v>295</v>
      </c>
      <c r="B18" s="85">
        <v>0</v>
      </c>
      <c r="C18" s="85">
        <v>0</v>
      </c>
      <c r="D18" s="85">
        <v>0</v>
      </c>
      <c r="E18" s="85">
        <v>0</v>
      </c>
      <c r="F18" s="85">
        <v>0</v>
      </c>
      <c r="G18" s="85">
        <v>0</v>
      </c>
      <c r="H18" s="85"/>
      <c r="I18" s="56">
        <v>0</v>
      </c>
      <c r="J18" s="56">
        <v>0.54200000000000004</v>
      </c>
      <c r="K18" s="56">
        <v>0.03</v>
      </c>
      <c r="L18" s="56">
        <v>0.66400000000000003</v>
      </c>
      <c r="M18" s="85"/>
      <c r="N18" s="85">
        <f t="shared" si="1"/>
        <v>1.2360000000000002</v>
      </c>
      <c r="O18" s="85"/>
      <c r="P18" s="56">
        <v>1.4830000000000001</v>
      </c>
      <c r="Q18" s="56">
        <v>0.94799999999999995</v>
      </c>
      <c r="R18" s="56">
        <v>1.095</v>
      </c>
      <c r="T18" s="85">
        <f t="shared" si="2"/>
        <v>3.5259999999999998</v>
      </c>
    </row>
    <row r="19" spans="1:20" s="58" customFormat="1" ht="16.5" x14ac:dyDescent="0.45">
      <c r="A19" s="55" t="s">
        <v>90</v>
      </c>
      <c r="B19" s="85">
        <f>'Operating Margins'!B18</f>
        <v>0</v>
      </c>
      <c r="C19" s="85">
        <f>'Operating Margins'!C18</f>
        <v>0</v>
      </c>
      <c r="D19" s="85">
        <f>'Operating Margins'!D18</f>
        <v>0.14499999999999999</v>
      </c>
      <c r="E19" s="85">
        <f>'Operating Margins'!E18</f>
        <v>0</v>
      </c>
      <c r="F19" s="86"/>
      <c r="G19" s="85">
        <f t="shared" si="0"/>
        <v>0.14499999999999999</v>
      </c>
      <c r="H19" s="86"/>
      <c r="I19" s="85">
        <f>'Operating Margins'!I18</f>
        <v>0</v>
      </c>
      <c r="J19" s="85">
        <f>'Operating Margins'!J18</f>
        <v>0</v>
      </c>
      <c r="K19" s="85">
        <f>'Operating Margins'!K18</f>
        <v>0.373</v>
      </c>
      <c r="L19" s="85">
        <f>'Operating Margins'!L18</f>
        <v>1.2629999999999999</v>
      </c>
      <c r="M19" s="86"/>
      <c r="N19" s="85">
        <f t="shared" si="1"/>
        <v>1.6359999999999999</v>
      </c>
      <c r="O19" s="86"/>
      <c r="P19" s="85">
        <f>'Operating Margins'!P18</f>
        <v>0</v>
      </c>
      <c r="Q19" s="85">
        <f>'Operating Margins'!Q18</f>
        <v>1.7989999999999999</v>
      </c>
      <c r="R19" s="85">
        <f>'Operating Margins'!R18</f>
        <v>0</v>
      </c>
      <c r="T19" s="85">
        <f>'Operating Margins'!T18</f>
        <v>1.7989999999999999</v>
      </c>
    </row>
    <row r="20" spans="1:20" s="58" customFormat="1" ht="16.5" x14ac:dyDescent="0.45">
      <c r="A20" s="55" t="s">
        <v>91</v>
      </c>
      <c r="B20" s="85">
        <f>'Operating Margins'!B19</f>
        <v>0.10100000000000001</v>
      </c>
      <c r="C20" s="85">
        <f>'Operating Margins'!C19</f>
        <v>-0.88900000000000001</v>
      </c>
      <c r="D20" s="85">
        <f>'Operating Margins'!D19</f>
        <v>8.5000000000000006E-2</v>
      </c>
      <c r="E20" s="85">
        <f>'Operating Margins'!E19</f>
        <v>0.28000000000000003</v>
      </c>
      <c r="F20" s="86"/>
      <c r="G20" s="85">
        <f t="shared" si="0"/>
        <v>-0.42300000000000004</v>
      </c>
      <c r="H20" s="86"/>
      <c r="I20" s="85">
        <f>'Operating Margins'!I19</f>
        <v>4.3999999999999997E-2</v>
      </c>
      <c r="J20" s="85">
        <f>'Operating Margins'!J19</f>
        <v>6.2999999999999945E-2</v>
      </c>
      <c r="K20" s="85">
        <f>'Operating Margins'!K19</f>
        <v>-6.7000000000000004E-2</v>
      </c>
      <c r="L20" s="85">
        <f>'Operating Margins'!L19+0.002</f>
        <v>9.5000000000000084E-2</v>
      </c>
      <c r="M20" s="86"/>
      <c r="N20" s="85">
        <f t="shared" si="1"/>
        <v>0.13500000000000001</v>
      </c>
      <c r="O20" s="86"/>
      <c r="P20" s="85">
        <f>'Operating Margins'!P19</f>
        <v>0.55099999999999971</v>
      </c>
      <c r="Q20" s="85">
        <f>'Operating Margins'!Q19</f>
        <v>1.1099999999999999</v>
      </c>
      <c r="R20" s="85">
        <f>'Operating Margins'!R19</f>
        <v>0.91700000000000004</v>
      </c>
      <c r="T20" s="85">
        <f>SUM(P20:S20)</f>
        <v>2.5779999999999994</v>
      </c>
    </row>
    <row r="21" spans="1:20" s="58" customFormat="1" ht="16.5" x14ac:dyDescent="0.45">
      <c r="A21" s="55" t="s">
        <v>153</v>
      </c>
      <c r="B21" s="86">
        <v>13.512</v>
      </c>
      <c r="C21" s="86">
        <v>10.646000000000001</v>
      </c>
      <c r="D21" s="86">
        <v>13.016</v>
      </c>
      <c r="E21" s="86">
        <v>13.722</v>
      </c>
      <c r="F21" s="86"/>
      <c r="G21" s="86">
        <f t="shared" si="0"/>
        <v>50.896000000000001</v>
      </c>
      <c r="H21" s="86"/>
      <c r="I21" s="86">
        <v>0</v>
      </c>
      <c r="J21" s="86">
        <v>0</v>
      </c>
      <c r="K21" s="86">
        <v>0</v>
      </c>
      <c r="L21" s="86">
        <v>0</v>
      </c>
      <c r="M21" s="86"/>
      <c r="N21" s="86">
        <f t="shared" si="1"/>
        <v>0</v>
      </c>
      <c r="O21" s="86"/>
      <c r="P21" s="86">
        <v>0</v>
      </c>
      <c r="Q21" s="86">
        <v>0</v>
      </c>
      <c r="R21" s="86">
        <v>0</v>
      </c>
      <c r="T21" s="86">
        <v>0</v>
      </c>
    </row>
    <row r="22" spans="1:20" s="58" customFormat="1" ht="16.5" x14ac:dyDescent="0.45">
      <c r="A22" s="55" t="s">
        <v>154</v>
      </c>
      <c r="B22" s="93">
        <v>-1.391</v>
      </c>
      <c r="C22" s="93">
        <v>0.114</v>
      </c>
      <c r="D22" s="93">
        <v>-0.70299999999999996</v>
      </c>
      <c r="E22" s="93">
        <v>-0.745</v>
      </c>
      <c r="F22" s="86"/>
      <c r="G22" s="93">
        <f t="shared" si="0"/>
        <v>-2.7250000000000001</v>
      </c>
      <c r="H22" s="86"/>
      <c r="I22" s="93">
        <v>0</v>
      </c>
      <c r="J22" s="93">
        <v>0</v>
      </c>
      <c r="K22" s="93">
        <v>0</v>
      </c>
      <c r="L22" s="93">
        <v>0</v>
      </c>
      <c r="M22" s="86"/>
      <c r="N22" s="93">
        <f t="shared" si="1"/>
        <v>0</v>
      </c>
      <c r="O22" s="86"/>
      <c r="P22" s="93">
        <v>0</v>
      </c>
      <c r="Q22" s="93">
        <v>0</v>
      </c>
      <c r="R22" s="93">
        <v>0</v>
      </c>
      <c r="T22" s="93">
        <v>0</v>
      </c>
    </row>
    <row r="23" spans="1:20" s="58" customFormat="1" ht="16.899999999999999" x14ac:dyDescent="0.5">
      <c r="A23" s="88" t="s">
        <v>100</v>
      </c>
      <c r="B23" s="62">
        <f>SUM(B9:B22)+B6</f>
        <v>44.356999999999999</v>
      </c>
      <c r="C23" s="62">
        <f>SUM(C9:C22)+C6</f>
        <v>70.55800000000005</v>
      </c>
      <c r="D23" s="62">
        <f>SUM(D9:D22)+D6</f>
        <v>70.10299999999998</v>
      </c>
      <c r="E23" s="62">
        <f>SUM(E9:E22)+E6</f>
        <v>63.740999999999985</v>
      </c>
      <c r="F23" s="137"/>
      <c r="G23" s="62">
        <f>SUM(G9:G22)+G6</f>
        <v>248.75900000000001</v>
      </c>
      <c r="H23" s="137"/>
      <c r="I23" s="62">
        <f>SUM(I9:I22)+I6</f>
        <v>48.850000000000009</v>
      </c>
      <c r="J23" s="94">
        <f>SUM(J9:J22)+J6</f>
        <v>57.849000000000018</v>
      </c>
      <c r="K23" s="94">
        <f>SUM(K9:K22)+K6</f>
        <v>67.983000000000004</v>
      </c>
      <c r="L23" s="94">
        <f>SUM(L9:L22)+L6</f>
        <v>57.848999999999997</v>
      </c>
      <c r="M23" s="137"/>
      <c r="N23" s="94">
        <f>SUM(N9:N22)+N6</f>
        <v>232.53099999999998</v>
      </c>
      <c r="O23" s="137"/>
      <c r="P23" s="94">
        <f>SUM(P9:P22)+P6</f>
        <v>50.598999999999961</v>
      </c>
      <c r="Q23" s="94">
        <f>SUM(Q9:Q22)+Q6</f>
        <v>54.040999999999997</v>
      </c>
      <c r="R23" s="94">
        <f>SUM(R9:R22)+R6</f>
        <v>64.706000000000003</v>
      </c>
      <c r="T23" s="94">
        <f>SUM(P23:S23)</f>
        <v>169.34599999999995</v>
      </c>
    </row>
    <row r="24" spans="1:20" s="58" customFormat="1" ht="16.899999999999999" x14ac:dyDescent="0.5">
      <c r="A24" s="51" t="s">
        <v>188</v>
      </c>
      <c r="B24" s="138">
        <f>B23/'Revenue Metrics'!C28</f>
        <v>0.23453552374859221</v>
      </c>
      <c r="C24" s="138">
        <f>C23/'Revenue Metrics'!D28</f>
        <v>0.34061965956378615</v>
      </c>
      <c r="D24" s="138">
        <f>D23/'Revenue Metrics'!E28</f>
        <v>0.32238823816159184</v>
      </c>
      <c r="E24" s="138">
        <f>E23/'Revenue Metrics'!F28</f>
        <v>0.28096940417259902</v>
      </c>
      <c r="F24" s="164"/>
      <c r="G24" s="138">
        <f>G23/'Revenue Metrics'!H28</f>
        <v>0.29593627280113921</v>
      </c>
      <c r="H24" s="164"/>
      <c r="I24" s="138">
        <f>I23/'Revenue Metrics'!J28</f>
        <v>0.24189994206285936</v>
      </c>
      <c r="J24" s="138">
        <f>J23/'Revenue Metrics'!K28</f>
        <v>0.26827899642906838</v>
      </c>
      <c r="K24" s="138">
        <f>K23/'Revenue Metrics'!L28</f>
        <v>0.29957960234083059</v>
      </c>
      <c r="L24" s="138">
        <f>L23/'Revenue Metrics'!M28</f>
        <v>0.24493710279067993</v>
      </c>
      <c r="M24" s="164"/>
      <c r="N24" s="138">
        <f>N23/'Revenue Metrics'!O28</f>
        <v>0.26403574510605438</v>
      </c>
      <c r="O24" s="164"/>
      <c r="P24" s="138">
        <f>P23/'Revenue Metrics'!Q28</f>
        <v>0.23078326468991864</v>
      </c>
      <c r="Q24" s="138">
        <f>Q23/'Revenue Metrics'!R28</f>
        <v>0.24165254369921879</v>
      </c>
      <c r="R24" s="138">
        <f>R23/'Revenue Metrics'!S28</f>
        <v>0.28679703567122899</v>
      </c>
      <c r="T24" s="138">
        <f>T23/'Revenue Metrics'!U28</f>
        <v>0.25332387927526862</v>
      </c>
    </row>
    <row r="25" spans="1:20" s="58" customFormat="1" ht="16.899999999999999" x14ac:dyDescent="0.5">
      <c r="A25" s="88"/>
      <c r="B25" s="62"/>
      <c r="C25" s="62"/>
      <c r="D25" s="62"/>
      <c r="E25" s="62"/>
      <c r="F25" s="137"/>
      <c r="G25" s="62"/>
      <c r="H25" s="137"/>
      <c r="I25" s="62"/>
      <c r="J25" s="62"/>
      <c r="K25" s="62"/>
      <c r="L25" s="62"/>
      <c r="M25" s="137"/>
      <c r="N25" s="62"/>
      <c r="O25" s="137"/>
      <c r="P25" s="62"/>
      <c r="Q25" s="62"/>
      <c r="R25" s="62"/>
      <c r="T25" s="62"/>
    </row>
    <row r="26" spans="1:20" x14ac:dyDescent="0.3">
      <c r="A26" s="44"/>
    </row>
    <row r="27" spans="1:20" x14ac:dyDescent="0.3">
      <c r="A27" s="44"/>
    </row>
    <row r="28" spans="1:20" x14ac:dyDescent="0.3">
      <c r="A28" s="44"/>
    </row>
    <row r="29" spans="1:20" x14ac:dyDescent="0.3">
      <c r="A29" s="44"/>
    </row>
    <row r="30" spans="1:20" x14ac:dyDescent="0.3">
      <c r="A30" s="44"/>
    </row>
    <row r="31" spans="1:20" x14ac:dyDescent="0.3">
      <c r="A31" s="44"/>
    </row>
    <row r="32" spans="1:20" x14ac:dyDescent="0.3">
      <c r="A32" s="44"/>
    </row>
    <row r="33" spans="1:1" x14ac:dyDescent="0.3">
      <c r="A33" s="44"/>
    </row>
    <row r="34" spans="1:1" x14ac:dyDescent="0.3">
      <c r="A34" s="44"/>
    </row>
    <row r="35" spans="1:1" x14ac:dyDescent="0.3">
      <c r="A35" s="44"/>
    </row>
    <row r="36" spans="1:1" x14ac:dyDescent="0.3">
      <c r="A36" s="44"/>
    </row>
    <row r="37" spans="1:1" x14ac:dyDescent="0.3">
      <c r="A37" s="44"/>
    </row>
    <row r="38" spans="1:1" x14ac:dyDescent="0.3">
      <c r="A38" s="44"/>
    </row>
    <row r="39" spans="1:1" x14ac:dyDescent="0.3">
      <c r="A39" s="44"/>
    </row>
    <row r="40" spans="1:1" x14ac:dyDescent="0.3">
      <c r="A40" s="44"/>
    </row>
    <row r="41" spans="1:1" x14ac:dyDescent="0.3">
      <c r="A41" s="44"/>
    </row>
    <row r="42" spans="1:1" x14ac:dyDescent="0.3">
      <c r="A42" s="44"/>
    </row>
    <row r="43" spans="1:1" x14ac:dyDescent="0.3">
      <c r="A43" s="44"/>
    </row>
    <row r="44" spans="1:1" x14ac:dyDescent="0.3">
      <c r="A44" s="44"/>
    </row>
    <row r="45" spans="1:1" x14ac:dyDescent="0.3">
      <c r="A45" s="44"/>
    </row>
    <row r="46" spans="1:1" x14ac:dyDescent="0.3">
      <c r="A46" s="44"/>
    </row>
    <row r="47" spans="1:1" x14ac:dyDescent="0.3">
      <c r="A47" s="44"/>
    </row>
    <row r="48" spans="1:1" x14ac:dyDescent="0.3">
      <c r="A48" s="44"/>
    </row>
    <row r="49" spans="1:1" x14ac:dyDescent="0.3">
      <c r="A49" s="44"/>
    </row>
    <row r="50" spans="1:1" x14ac:dyDescent="0.3">
      <c r="A50" s="44"/>
    </row>
    <row r="51" spans="1:1" x14ac:dyDescent="0.3">
      <c r="A51" s="44"/>
    </row>
    <row r="52" spans="1:1" x14ac:dyDescent="0.3">
      <c r="A52" s="44"/>
    </row>
    <row r="53" spans="1:1" x14ac:dyDescent="0.3">
      <c r="A53" s="44"/>
    </row>
    <row r="54" spans="1:1" x14ac:dyDescent="0.3">
      <c r="A54" s="44"/>
    </row>
    <row r="55" spans="1:1" x14ac:dyDescent="0.3">
      <c r="A55" s="44"/>
    </row>
    <row r="56" spans="1:1" x14ac:dyDescent="0.3">
      <c r="A56" s="44"/>
    </row>
    <row r="57" spans="1:1" x14ac:dyDescent="0.3">
      <c r="A57" s="44"/>
    </row>
    <row r="58" spans="1:1" x14ac:dyDescent="0.3">
      <c r="A58" s="44"/>
    </row>
    <row r="59" spans="1:1" x14ac:dyDescent="0.3">
      <c r="A59" s="44"/>
    </row>
    <row r="60" spans="1:1" x14ac:dyDescent="0.3">
      <c r="A60" s="44"/>
    </row>
    <row r="61" spans="1:1" x14ac:dyDescent="0.3">
      <c r="A61" s="44"/>
    </row>
    <row r="62" spans="1:1" x14ac:dyDescent="0.3">
      <c r="A62" s="44"/>
    </row>
    <row r="63" spans="1:1" x14ac:dyDescent="0.3">
      <c r="A63" s="44"/>
    </row>
    <row r="64" spans="1:1" x14ac:dyDescent="0.3">
      <c r="A64" s="44"/>
    </row>
    <row r="65" spans="1:1" x14ac:dyDescent="0.3">
      <c r="A65" s="44"/>
    </row>
    <row r="66" spans="1:1" x14ac:dyDescent="0.3">
      <c r="A66" s="44"/>
    </row>
    <row r="67" spans="1:1" x14ac:dyDescent="0.3">
      <c r="A67" s="44"/>
    </row>
    <row r="68" spans="1:1" x14ac:dyDescent="0.3">
      <c r="A68" s="44"/>
    </row>
    <row r="69" spans="1:1" x14ac:dyDescent="0.3">
      <c r="A69" s="44"/>
    </row>
    <row r="70" spans="1:1" x14ac:dyDescent="0.3">
      <c r="A70" s="44"/>
    </row>
    <row r="71" spans="1:1" x14ac:dyDescent="0.3">
      <c r="A71" s="44"/>
    </row>
    <row r="72" spans="1:1" x14ac:dyDescent="0.3">
      <c r="A72" s="44"/>
    </row>
    <row r="73" spans="1:1" x14ac:dyDescent="0.3">
      <c r="A73" s="44"/>
    </row>
    <row r="74" spans="1:1" x14ac:dyDescent="0.3">
      <c r="A74" s="44"/>
    </row>
    <row r="75" spans="1:1" x14ac:dyDescent="0.3">
      <c r="A75" s="44"/>
    </row>
    <row r="76" spans="1:1" x14ac:dyDescent="0.3">
      <c r="A76" s="44"/>
    </row>
    <row r="77" spans="1:1" x14ac:dyDescent="0.3">
      <c r="A77" s="44"/>
    </row>
    <row r="78" spans="1:1" x14ac:dyDescent="0.3">
      <c r="A78" s="44"/>
    </row>
    <row r="79" spans="1:1" x14ac:dyDescent="0.3">
      <c r="A79" s="44"/>
    </row>
    <row r="80" spans="1:1" x14ac:dyDescent="0.3">
      <c r="A80" s="44"/>
    </row>
    <row r="81" spans="1:1" x14ac:dyDescent="0.3">
      <c r="A81" s="44"/>
    </row>
    <row r="82" spans="1:1" x14ac:dyDescent="0.3">
      <c r="A82" s="44"/>
    </row>
    <row r="83" spans="1:1" x14ac:dyDescent="0.3">
      <c r="A83" s="44"/>
    </row>
    <row r="84" spans="1:1" x14ac:dyDescent="0.3">
      <c r="A84" s="44"/>
    </row>
    <row r="85" spans="1:1" x14ac:dyDescent="0.3">
      <c r="A85" s="44"/>
    </row>
    <row r="86" spans="1:1" x14ac:dyDescent="0.3">
      <c r="A86" s="44"/>
    </row>
    <row r="87" spans="1:1" x14ac:dyDescent="0.3">
      <c r="A87" s="44"/>
    </row>
    <row r="88" spans="1:1" x14ac:dyDescent="0.3">
      <c r="A88" s="44"/>
    </row>
    <row r="89" spans="1:1" x14ac:dyDescent="0.3">
      <c r="A89" s="44"/>
    </row>
    <row r="90" spans="1:1" x14ac:dyDescent="0.3">
      <c r="A90" s="44"/>
    </row>
    <row r="91" spans="1:1" x14ac:dyDescent="0.3">
      <c r="A91" s="44"/>
    </row>
    <row r="92" spans="1:1" x14ac:dyDescent="0.3">
      <c r="A92" s="44"/>
    </row>
    <row r="93" spans="1:1" x14ac:dyDescent="0.3">
      <c r="A93" s="44"/>
    </row>
    <row r="94" spans="1:1" x14ac:dyDescent="0.3">
      <c r="A94" s="44"/>
    </row>
    <row r="95" spans="1:1" x14ac:dyDescent="0.3">
      <c r="A95" s="44"/>
    </row>
    <row r="96" spans="1:1" x14ac:dyDescent="0.3">
      <c r="A96" s="44"/>
    </row>
    <row r="97" spans="1:1" x14ac:dyDescent="0.3">
      <c r="A97" s="44"/>
    </row>
    <row r="98" spans="1:1" x14ac:dyDescent="0.3">
      <c r="A98" s="44"/>
    </row>
    <row r="99" spans="1:1" x14ac:dyDescent="0.3">
      <c r="A99" s="44"/>
    </row>
    <row r="100" spans="1:1" x14ac:dyDescent="0.3">
      <c r="A100" s="44"/>
    </row>
    <row r="101" spans="1:1" x14ac:dyDescent="0.3">
      <c r="A101" s="44"/>
    </row>
    <row r="102" spans="1:1" x14ac:dyDescent="0.3">
      <c r="A102" s="44"/>
    </row>
    <row r="103" spans="1:1" x14ac:dyDescent="0.3">
      <c r="A103" s="44"/>
    </row>
    <row r="104" spans="1:1" x14ac:dyDescent="0.3">
      <c r="A104" s="44"/>
    </row>
    <row r="105" spans="1:1" x14ac:dyDescent="0.3">
      <c r="A105" s="44"/>
    </row>
    <row r="106" spans="1:1" x14ac:dyDescent="0.3">
      <c r="A106" s="44"/>
    </row>
    <row r="107" spans="1:1" x14ac:dyDescent="0.3">
      <c r="A107" s="44"/>
    </row>
    <row r="108" spans="1:1" x14ac:dyDescent="0.3">
      <c r="A108" s="44"/>
    </row>
    <row r="109" spans="1:1" x14ac:dyDescent="0.3">
      <c r="A109" s="44"/>
    </row>
    <row r="110" spans="1:1" x14ac:dyDescent="0.3">
      <c r="A110" s="44"/>
    </row>
    <row r="111" spans="1:1" x14ac:dyDescent="0.3">
      <c r="A111" s="44"/>
    </row>
    <row r="112" spans="1:1" x14ac:dyDescent="0.3">
      <c r="A112" s="44"/>
    </row>
    <row r="113" spans="1:1" x14ac:dyDescent="0.3">
      <c r="A113" s="44"/>
    </row>
    <row r="114" spans="1:1" x14ac:dyDescent="0.3">
      <c r="A114" s="44"/>
    </row>
    <row r="115" spans="1:1" x14ac:dyDescent="0.3">
      <c r="A115" s="44"/>
    </row>
    <row r="116" spans="1:1" x14ac:dyDescent="0.3">
      <c r="A116" s="44"/>
    </row>
    <row r="117" spans="1:1" x14ac:dyDescent="0.3">
      <c r="A117" s="44"/>
    </row>
  </sheetData>
  <mergeCells count="3">
    <mergeCell ref="B3:E3"/>
    <mergeCell ref="I3:L3"/>
    <mergeCell ref="P3:R3"/>
  </mergeCells>
  <pageMargins left="0.25" right="0.25" top="0.75" bottom="0.75" header="0.3" footer="0.3"/>
  <pageSetup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Table of Contents</vt:lpstr>
      <vt:lpstr>Summary Metrics</vt:lpstr>
      <vt:lpstr>Revenue Metrics</vt:lpstr>
      <vt:lpstr>Constant Currency</vt:lpstr>
      <vt:lpstr>Cloud Metrics</vt:lpstr>
      <vt:lpstr>Gross Profit</vt:lpstr>
      <vt:lpstr>Operating Expenses</vt:lpstr>
      <vt:lpstr>Operating Margins</vt:lpstr>
      <vt:lpstr>EBITDA Margins</vt:lpstr>
      <vt:lpstr>Other Expense, Tax &amp; NI</vt:lpstr>
      <vt:lpstr>EPS &amp; DSO</vt:lpstr>
      <vt:lpstr>Debt</vt:lpstr>
      <vt:lpstr>Footnotes</vt:lpstr>
      <vt:lpstr> Suppl. Info NG Measures</vt:lpstr>
      <vt:lpstr>' Suppl. Info NG Measures'!Print_Area</vt:lpstr>
      <vt:lpstr>'Cloud Metrics'!Print_Area</vt:lpstr>
      <vt:lpstr>'Constant Currency'!Print_Area</vt:lpstr>
      <vt:lpstr>Debt!Print_Area</vt:lpstr>
      <vt:lpstr>'EBITDA Margins'!Print_Area</vt:lpstr>
      <vt:lpstr>'EPS &amp; DSO'!Print_Area</vt:lpstr>
      <vt:lpstr>Footnotes!Print_Area</vt:lpstr>
      <vt:lpstr>'Gross Profit'!Print_Area</vt:lpstr>
      <vt:lpstr>'Operating Expenses'!Print_Area</vt:lpstr>
      <vt:lpstr>'Operating Margins'!Print_Area</vt:lpstr>
      <vt:lpstr>'Other Expense, Tax &amp; NI'!Print_Area</vt:lpstr>
      <vt:lpstr>'Revenue Metrics'!Print_Area</vt:lpstr>
      <vt:lpstr>'Summary Metrics'!Print_Area</vt:lpstr>
      <vt:lpstr>' Suppl. Info NG Measures'!Print_Titles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Becker, Keri</dc:creator>
  <cp:lastModifiedBy>Frankel, Matthew</cp:lastModifiedBy>
  <dcterms:created xsi:type="dcterms:W3CDTF">2021-05-20T20:02:08Z</dcterms:created>
  <dcterms:modified xsi:type="dcterms:W3CDTF">2022-12-07T18:52:33Z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