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verint-my.sharepoint.com/personal/matthew_frankel_verint_com/Documents/Desktop/IR/Financial Dashboard/FY26/"/>
    </mc:Choice>
  </mc:AlternateContent>
  <xr:revisionPtr revIDLastSave="0" documentId="8_{0A909D6D-8459-447B-928C-35A85C1E4869}" xr6:coauthVersionLast="47" xr6:coauthVersionMax="47" xr10:uidLastSave="{00000000-0000-0000-0000-000000000000}"/>
  <bookViews>
    <workbookView xWindow="57480" yWindow="9885" windowWidth="29040" windowHeight="15720" tabRatio="951" xr2:uid="{0D4002E5-4B8A-4A75-A860-78F6C0111ACB}"/>
  </bookViews>
  <sheets>
    <sheet name="ARR" sheetId="18" r:id="rId1"/>
    <sheet name="Cash Generation &amp; Contribution" sheetId="19" r:id="rId2"/>
    <sheet name="Free Cash Flow " sheetId="24" r:id="rId3"/>
    <sheet name="Reconciliations ---&gt;" sheetId="28" r:id="rId4"/>
    <sheet name="Gross Profit" sheetId="26" r:id="rId5"/>
    <sheet name="Operating Expenses" sheetId="27" r:id="rId6"/>
    <sheet name="Supplemental Info" sheetId="29" r:id="rId7"/>
  </sheets>
  <definedNames>
    <definedName name="CIQWBGuid" hidden="1">"VRNT Investor Relations Financial Appendices Workbook 10.31.19.xlsx"</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45329.8577430556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ARR!$A$1:$F$13</definedName>
    <definedName name="_xlnm.Print_Area" localSheetId="4">'Gross Profit'!$A$1:$A$25</definedName>
    <definedName name="_xlnm.Print_Area" localSheetId="5">'Operating Expenses'!$A$1:$A$34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7" l="1"/>
  <c r="O7" i="27"/>
  <c r="T7" i="27"/>
  <c r="H10" i="27"/>
  <c r="O10" i="27"/>
  <c r="O15" i="27" s="1"/>
  <c r="T10" i="27"/>
  <c r="H11" i="27"/>
  <c r="O11" i="27"/>
  <c r="T11" i="27"/>
  <c r="T15" i="27" s="1"/>
  <c r="H12" i="27"/>
  <c r="O12" i="27"/>
  <c r="T12" i="27"/>
  <c r="H13" i="27"/>
  <c r="H15" i="27" s="1"/>
  <c r="O13" i="27"/>
  <c r="T13" i="27"/>
  <c r="H14" i="27"/>
  <c r="O14" i="27"/>
  <c r="T14" i="27"/>
  <c r="C15" i="27"/>
  <c r="D15" i="27"/>
  <c r="E15" i="27"/>
  <c r="F15" i="27"/>
  <c r="J15" i="27"/>
  <c r="K15" i="27"/>
  <c r="L15" i="27"/>
  <c r="M15" i="27"/>
  <c r="Q15" i="27"/>
  <c r="R15" i="27"/>
  <c r="H20" i="27"/>
  <c r="O20" i="27"/>
  <c r="T20" i="27"/>
  <c r="H23" i="27"/>
  <c r="O23" i="27"/>
  <c r="O30" i="27" s="1"/>
  <c r="T23" i="27"/>
  <c r="T30" i="27" s="1"/>
  <c r="H24" i="27"/>
  <c r="H30" i="27" s="1"/>
  <c r="O24" i="27"/>
  <c r="T24" i="27"/>
  <c r="H25" i="27"/>
  <c r="O25" i="27"/>
  <c r="T25" i="27"/>
  <c r="H26" i="27"/>
  <c r="O26" i="27"/>
  <c r="T26" i="27"/>
  <c r="H27" i="27"/>
  <c r="O27" i="27"/>
  <c r="T27" i="27"/>
  <c r="H28" i="27"/>
  <c r="O28" i="27"/>
  <c r="T28" i="27"/>
  <c r="H29" i="27"/>
  <c r="O29" i="27"/>
  <c r="T29" i="27"/>
  <c r="C30" i="27"/>
  <c r="D30" i="27"/>
  <c r="E30" i="27"/>
  <c r="F30" i="27"/>
  <c r="J30" i="27"/>
  <c r="K30" i="27"/>
  <c r="L30" i="27"/>
  <c r="M30" i="27"/>
  <c r="Q30" i="27"/>
  <c r="R30" i="27"/>
  <c r="H7" i="26"/>
  <c r="O7" i="26"/>
  <c r="T7" i="26"/>
  <c r="H9" i="26"/>
  <c r="O9" i="26"/>
  <c r="T9" i="26"/>
  <c r="T13" i="26" s="1"/>
  <c r="C10" i="26"/>
  <c r="C11" i="26" s="1"/>
  <c r="D10" i="26"/>
  <c r="E10" i="26"/>
  <c r="E11" i="26" s="1"/>
  <c r="E13" i="26" s="1"/>
  <c r="E15" i="26" s="1"/>
  <c r="F10" i="26"/>
  <c r="F11" i="26" s="1"/>
  <c r="F13" i="26" s="1"/>
  <c r="F15" i="26" s="1"/>
  <c r="J10" i="26"/>
  <c r="J11" i="26" s="1"/>
  <c r="K10" i="26"/>
  <c r="K11" i="26" s="1"/>
  <c r="K13" i="26" s="1"/>
  <c r="K15" i="26" s="1"/>
  <c r="L10" i="26"/>
  <c r="L11" i="26" s="1"/>
  <c r="L13" i="26" s="1"/>
  <c r="L15" i="26" s="1"/>
  <c r="M10" i="26"/>
  <c r="O10" i="26"/>
  <c r="T10" i="26"/>
  <c r="D11" i="26"/>
  <c r="D13" i="26" s="1"/>
  <c r="D15" i="26" s="1"/>
  <c r="M11" i="26"/>
  <c r="T11" i="26"/>
  <c r="H12" i="26"/>
  <c r="O12" i="26"/>
  <c r="T12" i="26"/>
  <c r="M13" i="26"/>
  <c r="Q13" i="26"/>
  <c r="R13" i="26"/>
  <c r="R15" i="26" s="1"/>
  <c r="M15" i="26"/>
  <c r="M22" i="26" s="1"/>
  <c r="Q15" i="26"/>
  <c r="Q16" i="26" s="1"/>
  <c r="M16" i="26"/>
  <c r="H17" i="26"/>
  <c r="O17" i="26"/>
  <c r="T17" i="26"/>
  <c r="H18" i="26"/>
  <c r="O18" i="26"/>
  <c r="T18" i="26"/>
  <c r="H19" i="26"/>
  <c r="O19" i="26"/>
  <c r="T19" i="26"/>
  <c r="H20" i="26"/>
  <c r="O20" i="26"/>
  <c r="T20" i="26"/>
  <c r="H21" i="26"/>
  <c r="O21" i="26"/>
  <c r="T21" i="26"/>
  <c r="F7" i="24"/>
  <c r="F10" i="24" s="1"/>
  <c r="G7" i="24"/>
  <c r="G10" i="24" s="1"/>
  <c r="H7" i="24"/>
  <c r="H10" i="24" s="1"/>
  <c r="J7" i="24"/>
  <c r="J10" i="24" s="1"/>
  <c r="M7" i="24"/>
  <c r="O7" i="24" s="1"/>
  <c r="O10" i="24" s="1"/>
  <c r="F8" i="24"/>
  <c r="G8" i="24"/>
  <c r="H8" i="24"/>
  <c r="J8" i="24"/>
  <c r="M8" i="24"/>
  <c r="O8" i="24"/>
  <c r="F9" i="24"/>
  <c r="G9" i="24"/>
  <c r="H9" i="24"/>
  <c r="J9" i="24"/>
  <c r="M9" i="24"/>
  <c r="O9" i="24" s="1"/>
  <c r="C10" i="24"/>
  <c r="E10" i="24"/>
  <c r="L10" i="24"/>
  <c r="C9" i="19"/>
  <c r="C11" i="19" s="1"/>
  <c r="E9" i="19"/>
  <c r="E11" i="19" s="1"/>
  <c r="H5" i="18"/>
  <c r="O5" i="18"/>
  <c r="T5" i="18"/>
  <c r="T6" i="18" s="1"/>
  <c r="J6" i="18"/>
  <c r="K6" i="18"/>
  <c r="L6" i="18"/>
  <c r="M6" i="18"/>
  <c r="O6" i="18"/>
  <c r="Q6" i="18"/>
  <c r="R6" i="18"/>
  <c r="H8" i="18"/>
  <c r="O8" i="18"/>
  <c r="T8" i="18"/>
  <c r="J9" i="18"/>
  <c r="K9" i="18"/>
  <c r="L9" i="18"/>
  <c r="M9" i="18"/>
  <c r="O9" i="18"/>
  <c r="Q9" i="18"/>
  <c r="R9" i="18"/>
  <c r="T9" i="18"/>
  <c r="C11" i="18"/>
  <c r="D11" i="18"/>
  <c r="E11" i="18"/>
  <c r="F11" i="18"/>
  <c r="H11" i="18"/>
  <c r="J11" i="18"/>
  <c r="J12" i="18" s="1"/>
  <c r="K11" i="18"/>
  <c r="K12" i="18" s="1"/>
  <c r="L11" i="18"/>
  <c r="L12" i="18" s="1"/>
  <c r="M11" i="18"/>
  <c r="M12" i="18" s="1"/>
  <c r="O11" i="18"/>
  <c r="O12" i="18" s="1"/>
  <c r="Q11" i="18"/>
  <c r="Q12" i="18" s="1"/>
  <c r="R11" i="18"/>
  <c r="T11" i="18" s="1"/>
  <c r="T12" i="18" s="1"/>
  <c r="F16" i="26" l="1"/>
  <c r="F22" i="26"/>
  <c r="E16" i="26"/>
  <c r="E22" i="26"/>
  <c r="D16" i="26"/>
  <c r="D22" i="26"/>
  <c r="H13" i="26"/>
  <c r="H15" i="26" s="1"/>
  <c r="T15" i="26"/>
  <c r="T16" i="26" s="1"/>
  <c r="R16" i="26"/>
  <c r="R22" i="26"/>
  <c r="L22" i="26"/>
  <c r="L16" i="26"/>
  <c r="H11" i="26"/>
  <c r="K22" i="26"/>
  <c r="K16" i="26"/>
  <c r="J13" i="26"/>
  <c r="J15" i="26" s="1"/>
  <c r="O11" i="26"/>
  <c r="O13" i="26" s="1"/>
  <c r="O15" i="26" s="1"/>
  <c r="O16" i="26" s="1"/>
  <c r="M10" i="24"/>
  <c r="R12" i="18"/>
  <c r="Q22" i="26"/>
  <c r="H10" i="26"/>
  <c r="C13" i="26"/>
  <c r="C15" i="26" s="1"/>
  <c r="C16" i="26" l="1"/>
  <c r="C22" i="26"/>
  <c r="J22" i="26"/>
  <c r="J16" i="26"/>
  <c r="H22" i="26"/>
  <c r="H16" i="26"/>
  <c r="T22" i="26"/>
  <c r="O22" i="26"/>
</calcChain>
</file>

<file path=xl/sharedStrings.xml><?xml version="1.0" encoding="utf-8"?>
<sst xmlns="http://schemas.openxmlformats.org/spreadsheetml/2006/main" count="189" uniqueCount="111">
  <si>
    <t xml:space="preserve">    </t>
  </si>
  <si>
    <t>Three Months Ended</t>
  </si>
  <si>
    <t>Year Ended</t>
  </si>
  <si>
    <t>4/30/2023</t>
  </si>
  <si>
    <t>($ in millions)</t>
  </si>
  <si>
    <t>Cash Generation</t>
  </si>
  <si>
    <r>
      <t>Subscription ARR</t>
    </r>
    <r>
      <rPr>
        <b/>
        <vertAlign val="superscript"/>
        <sz val="13"/>
        <rFont val="Arial"/>
        <family val="2"/>
      </rPr>
      <t>(1)</t>
    </r>
  </si>
  <si>
    <r>
      <t>Growth YoY</t>
    </r>
    <r>
      <rPr>
        <b/>
        <i/>
        <vertAlign val="superscript"/>
        <sz val="13"/>
        <rFont val="Arial"/>
        <family val="2"/>
      </rPr>
      <t>(1)</t>
    </r>
  </si>
  <si>
    <r>
      <t xml:space="preserve">  Subscription ARR</t>
    </r>
    <r>
      <rPr>
        <b/>
        <vertAlign val="superscript"/>
        <sz val="13"/>
        <rFont val="Arial"/>
        <family val="2"/>
      </rPr>
      <t>(1)</t>
    </r>
  </si>
  <si>
    <t xml:space="preserve">  Less: Cost of Revenue and Operating Expenses (1) (2)</t>
  </si>
  <si>
    <t>(1) Adjusted for the quality managed services divestiture, which closed January 31, 2024.</t>
  </si>
  <si>
    <t>Cash Contribution</t>
  </si>
  <si>
    <t>Less: purchases of property and equipment</t>
  </si>
  <si>
    <t>Less: cash paid for capitalized software development costs</t>
  </si>
  <si>
    <t>7/31/2023</t>
  </si>
  <si>
    <t>10/31/2023</t>
  </si>
  <si>
    <t>1/31/2024</t>
  </si>
  <si>
    <t>Revenue</t>
  </si>
  <si>
    <t>Total GAAP revenue</t>
  </si>
  <si>
    <t>Revenue from divested offering</t>
  </si>
  <si>
    <t>Total GAAP revenue without divested offering</t>
  </si>
  <si>
    <t>Total non-GAAP revenue</t>
  </si>
  <si>
    <t>Total non-GAAP revenue without divested offering</t>
  </si>
  <si>
    <t>Cost of Revenue</t>
  </si>
  <si>
    <t>Total GAAP cost of revenue</t>
  </si>
  <si>
    <t>Cost of revenue from divested offering</t>
  </si>
  <si>
    <t>Total GAAP cost of revenue without divested offering</t>
  </si>
  <si>
    <t>Amortization of acquired technology</t>
  </si>
  <si>
    <t>Stock-based compensation expenses</t>
  </si>
  <si>
    <t>Acquisition and divestitures expenses (benefit), net</t>
  </si>
  <si>
    <t>Restructuring expenses</t>
  </si>
  <si>
    <t>Total non-GAAP cost of revenue without divested offering</t>
  </si>
  <si>
    <t>Operating Expenses</t>
  </si>
  <si>
    <t>Total GAAP operating expenses</t>
  </si>
  <si>
    <t>Operating expenses from divested offering</t>
  </si>
  <si>
    <t>Total GAAP operating expenses without divested offering</t>
  </si>
  <si>
    <t>Amortization of other acquired intangible assets</t>
  </si>
  <si>
    <t>Accelerated lease costs</t>
  </si>
  <si>
    <t>IT facilities and infrastructure realignment</t>
  </si>
  <si>
    <t>Other adjustments</t>
  </si>
  <si>
    <t>Total non-GAAP operating expenses without divested offering</t>
  </si>
  <si>
    <t>Gross Profit</t>
  </si>
  <si>
    <t>4/30/2024</t>
  </si>
  <si>
    <t>7/31/2024</t>
  </si>
  <si>
    <t>10/31/2024</t>
  </si>
  <si>
    <t>1/31/2025</t>
  </si>
  <si>
    <t>Gross Profit and Gross Margin</t>
  </si>
  <si>
    <t>Recurring costs</t>
  </si>
  <si>
    <t>Nonrecurring perpetual costs</t>
  </si>
  <si>
    <t>Nonrecurring professional services and other costs</t>
  </si>
  <si>
    <t>GAAP gross profit</t>
  </si>
  <si>
    <t xml:space="preserve">    GAAP gross margin</t>
  </si>
  <si>
    <t>Revenue adjustments</t>
  </si>
  <si>
    <t>Restructuring expenses (benefit)</t>
  </si>
  <si>
    <t>Non-GAAP gross profit</t>
  </si>
  <si>
    <t xml:space="preserve">    Non-GAAP gross margin</t>
  </si>
  <si>
    <t>Research and Development, net</t>
  </si>
  <si>
    <t>GAAP research and development, net</t>
  </si>
  <si>
    <t xml:space="preserve">     as a % of GAAP revenue</t>
  </si>
  <si>
    <t>Non-GAAP research and development, net</t>
  </si>
  <si>
    <t xml:space="preserve">     as a % of non-GAAP revenue</t>
  </si>
  <si>
    <t>Selling, General and Administrative expenses</t>
  </si>
  <si>
    <t>GAAP selling, general and administrative expenses</t>
  </si>
  <si>
    <t>Non-GAAP selling, general and administrative expenses</t>
  </si>
  <si>
    <t>Acquisition and divestitures expenses, net</t>
  </si>
  <si>
    <t>Separation expenses (1)</t>
  </si>
  <si>
    <t>Acquisition and divestitures expenses (benefit), net  (2)</t>
  </si>
  <si>
    <t>(1) Effective February 1, 2024, separation expenses are immaterial and therefore included in Other adjustments.</t>
  </si>
  <si>
    <t>(2) For the three months and year ended January 31, 2024, acquisition and divestitures expenses (benefit), net included a loss on the sale of our manual quality managed services business of $9.7 million, which was recorded as part of selling, general, and administrative expenses in our consolidated statement of operations. Today, our platform includes an AI-powered solution for automating the quality process. We expect our customers to adopt AI over time and believe that a people-centric managed services offering is no longer core to our offering.</t>
  </si>
  <si>
    <t>(2) Reconciliations of GAAP to Non-GAAP for Cost of Revenue and Operating Expenses can be located on the "Reconciliations" section of this workbook.</t>
  </si>
  <si>
    <t>Free Cash Flow</t>
  </si>
  <si>
    <t>Supplemental Information About Non-GAAP Financial Measures and Operating Metrics</t>
  </si>
  <si>
    <t>Non-GAAP Financial Measures</t>
  </si>
  <si>
    <t xml:space="preserve">The following tables include reconciliations of certain financial measures not prepared in accordance with Generally Accepted Accounting Principles (“GAAP”), consisting of non-GAAP revenue, non-GAAP revenue from divested manual quality managed services, non-GAAP cost of revenue from divested manual quality managed services, non-GAAP gross profit and gross margins, non-GAAP research and development, net, non-GAAP selling, general and administrative expenses, non-GAAP operating expenses from divested manual quality managed services and free cash flow. The tables above include a reconciliation of each non-GAAP financial measure for completed periods presented in this press release to the most directly comparable GAAP financial measure. </t>
  </si>
  <si>
    <t>We believe these non-GAAP financial measures, used in conjunction with the corresponding GAAP measures, provide investors with useful supplemental information about the financial performance of our business by:</t>
  </si>
  <si>
    <t xml:space="preserve">   •facilitating the comparison of our financial results and business trends between periods, by excluding certain items that either can vary significantly in amount and frequency, are based upon subjective assumptions, or in certain cases are unplanned for or difficult to forecast,</t>
  </si>
  <si>
    <t xml:space="preserve">   •facilitating the comparison of our financial results and business trends with other technology companies who publish similar non-GAAP measures, and</t>
  </si>
  <si>
    <t xml:space="preserve">   •allowing investors to see and understand key supplementary metrics used by our management to run our business, including for budgeting and forecasting, resource allocation, and compensation matters.</t>
  </si>
  <si>
    <t>We also make these non-GAAP financial measures available because a number of our investors have informed us that they find this supplemental information useful.</t>
  </si>
  <si>
    <t>Non-GAAP financial measures should not be considered in isolation, as substitutes for, or superior to, comparable GAAP financial measures. The non-GAAP financial measures we present have limitations in that they do not reflect all of the amounts associated with our results of operations as determined in accordance with GAAP, and these non-GAAP financial measures should only be used to evaluate our results of operations in conjunction with the corresponding GAAP financial measures. These non-GAAP financial measures do not represent discretionary cash available to us to invest in the growth of our business, and we may in the future incur expenses similar to or in addition to the adjustments made in these non-GAAP financial measures. Other companies may calculate similar non-GAAP financial measures differently than we do, limiting their usefulness as comparative measures.</t>
  </si>
  <si>
    <t>Our non-GAAP financial measures are calculated by making the following adjustments to our GAAP financial measures:</t>
  </si>
  <si>
    <t xml:space="preserve">   •Revenue adjustments. For acquisitions completed prior to February 1, 2023, we exclude from our non-GAAP revenue the impact of fair value adjustments required under previous GAAP guidance relating to SaaS services, optional managed services and customer support contracts acquired in a business acquisition, which would have otherwise been recognized on a stand-alone basis. Beginning February 1, 2023, we adopted accounting guidance which eliminates the fair value provision that resulted in the accounting adjustment on a prospective basis. We believe that it is useful for investors to understand the total amount of revenue that we and the acquired company would have recognized on a stand-alone basis under GAAP, absent the accounting adjustment associated with the business acquisition under prior accounting guidance. Our non-GAAP revenue also reflects certain adjustments from aligning an acquired company’s revenue recognition policies to our policies. We believe that our non-GAAP revenue measure helps management and investors understand our revenue trends and serves as a useful measure of ongoing business performance.</t>
  </si>
  <si>
    <t xml:space="preserve">   •Amortization of acquired technology and other acquired intangible assets. When we acquire an entity, we are required under GAAP to record the fair values of the intangible assets of the acquired entity and amortize those assets over their useful lives. We exclude the amortization of acquired intangible assets, including acquired technology, from our non-GAAP financial measures because they are inconsistent in amount and frequency and are significantly impacted by the timing and size of acquisitions. We also exclude these amounts to provide easier comparability of pre- and post-acquisition operating results.</t>
  </si>
  <si>
    <t xml:space="preserve">   •Stock-based compensation expenses. We exclude stock-based compensation expenses related to restricted stock unit and performance stock unit awards, stock bonus programs, bonus share programs, and other stock-based awards from our non-GAAP financial measures. We evaluate our performance both with and without these measures because stock-based compensation is typically a non-cash expense and can vary significantly over time based on the timing, size and nature of awards granted, and is influenced in part by certain factors which are generally beyond our control, such as the volatility of the price of our common stock. In addition, measurement of stock-based compensation is subject to varying valuation methodologies and subjective assumptions, and therefore we believe that excluding stock-based compensation from our non-GAAP financial measures allows for meaningful comparisons of our current operating results to our historical operating results and to other companies in our industry.</t>
  </si>
  <si>
    <t xml:space="preserve">   •Acquisition and divestitures expenses (benefit), net. In connection with acquisition activity (including with respect to acquisitions that are not consummated), we incur expenses (benefits), including legal, accounting, and other professional fees, integration costs, changes in the fair value of contingent consideration obligations, and other costs. Integration costs may consist of information technology expenses as systems are integrated across the combined entity, consulting expenses, marketing expenses, and professional fees, as well as non-cash charges to write-off or impair the value of redundant assets. In connection with divestiture activity, we exclude the gain or loss on divestiture as well as any expenses incurred, including legal, accounting, and other professional fees. We exclude these expenses from our non-GAAP financial measures because they are unpredictable, can vary based on the size and complexity of each transaction, and are unrelated to our continuing operations or to the continuing operations of the acquired businesses.</t>
  </si>
  <si>
    <t xml:space="preserve">   •Restructuring expenses (benefit). We exclude restructuring expenses (benefit) from our non-GAAP financial measures, which include employee termination costs, facility exit costs (except as included in accelerated lease costs and IT facilities and infrastructure realignment described below), certain professional fees, asset impairment charges (except as included in acquisition or IT facilities and infrastructure realignment), and other costs directly associated with resource realignments incurred in reaction to changing strategies or business conditions. All of these costs can vary significantly in amount and frequency based on the nature of the actions as well as the changing needs of our business and we believe that excluding them provides easier comparability of pre- and post-restructuring operating results.</t>
  </si>
  <si>
    <t xml:space="preserve">   •Separation expenses (benefit). On February 1, 2021, we completed the spin-off of our former Cyber Intelligence Solutions business.  We exclude from our non-GAAP financial measures expenses incurred (benefit from) in connection with the spin-off, including third-party advisory, accounting, legal, tax, consulting, and other similar services related to the separation as well as costs associated with the operational separation of the two businesses, including those related to human resources, brand management, real estate, and information technology (which are included in Separation expenses to the extent not capitalized). Separation expenses also include incremental cash income taxes related to the reorganization of legal entities and operations in order to effect the separation and other expense adjustments associated with tax-related indemnification asset as a result of the spin-off. These costs are incremental to our normal operating expenses and are being incurred solely as a result of the separation transaction. Accordingly, we are excluding these separation expenses from our non-GAAP financial measures in order to evaluate our performance on a comparable basis.  Separation expenses incurred through January 31, 2024 are recorded under this category in this document.  Effective February 1, 2024, these expenses are included in Impairment charges and other adjustments, as defined below.
</t>
  </si>
  <si>
    <t xml:space="preserve">   •Accelerated lease costs. We exclude from our non-GAAP financial measures accelerated facility costs and associated accelerated lease expenses, including losses on terminations, due to the early termination or abandonment of certain office leases as a result of our move to a hybrid work model because these charges are not reflective of our ongoing business and operating results.</t>
  </si>
  <si>
    <t xml:space="preserve">   •IT facilities and infrastructure realignment. We exclude from our non-GAAP financial measures nonrecurring IT facilities and infrastructure realignment costs and other IT charges associated with modifying the workplace, including consolidating and/or migrating data centers and labs to the cloud, simplifying the corporate network, and one-time costs for implementing collaboration tools to enable our work from anywhere strategy, as well as asset impairment charges, accelerated depreciation and IT facility exit costs.</t>
  </si>
  <si>
    <t xml:space="preserve">   •Impairment charges and other adjustments. We exclude from our non-GAAP financial measures asset impairment charges (other than those already included within restructuring, acquisition, or IT facilities and realignment activity), rent expense for redundant facilities, gains or losses on sales of property, gains or losses on settlements of certain legal matters, and certain professional fees unrelated to our ongoing operations, all of which are unusual in nature and can vary significantly in amount and frequency.  Effective February 1, 2024, separation expenses excluded from our non-GAAP financial measures are included in this category within this document.  We exclude from our non-GAAP financial measures separation expenses incurred in connection with the spin-off of our former Cyber Intelligence Solutions business, including third-party advisory, accounting, legal, tax, consulting, and other similar services related to the separation as well as costs associated with the operational separation of the two businesses, including those related to human resources, brand management, real estate, and information technology. Separation expenses also include incremental cash income taxes related to the reorganization of legal entities and operations in order to effect the separation and other expense adjustments associated with a tax-related indemnification asset as a result of the spin-off. These costs were incremental to our normal operating expenses and were incurred solely as a result of the separation transaction. Separation expenses (benefit) incurred through January 31, 2024 are included in the Separation expenses (benefit) category of this document, as defined above.</t>
  </si>
  <si>
    <t>Definition of Certain Non-GAAP Financial Metrics</t>
  </si>
  <si>
    <t>Free Cash Flow is a non-GAAP measure defined as GAAP cash provided by operating activities less our capital expenditures, which include purchases of property and equipment and capitalized software development costs.</t>
  </si>
  <si>
    <t>Operating Metrics</t>
  </si>
  <si>
    <t>Cash Generation represents the sum of ARR and nonrecurring perpetual and nonrecurring professional services and other revenue and provides an estimate of the cash-producing potential of our entire business.</t>
  </si>
  <si>
    <t xml:space="preserve">Divestiture </t>
  </si>
  <si>
    <t>Cash Generation and Cash Contribution</t>
  </si>
  <si>
    <t xml:space="preserve">  Nonrecurring Perpetual and Professional Services and Other Revenue</t>
  </si>
  <si>
    <t>4/30/2025</t>
  </si>
  <si>
    <t>Net cash provided by operating activities</t>
  </si>
  <si>
    <t xml:space="preserve">Other adjustments </t>
  </si>
  <si>
    <t>ARR</t>
  </si>
  <si>
    <t>Cash Contribution is defined as Cash Generation less non-GAAP cost of revenue and operating expenses and helps assess how effectively we convert our revenue streams into cash.</t>
  </si>
  <si>
    <r>
      <t>Non-AI ARR</t>
    </r>
    <r>
      <rPr>
        <b/>
        <vertAlign val="superscript"/>
        <sz val="13"/>
        <rFont val="Arial"/>
        <family val="2"/>
      </rPr>
      <t>(1)</t>
    </r>
  </si>
  <si>
    <r>
      <t>AI ARR</t>
    </r>
    <r>
      <rPr>
        <b/>
        <vertAlign val="superscript"/>
        <sz val="13"/>
        <rFont val="Arial"/>
        <family val="2"/>
      </rPr>
      <t>(1)</t>
    </r>
  </si>
  <si>
    <t>Non-AI Annual Recurring Revenue (Non-AI ARR) is the portion of ARR that is derived from our SaaS, Support, and Optional Managed Services contracts that do not include AI-functionality, and represents the annualized quarterly run rate of such active or signed agreements as of the end of a period.</t>
  </si>
  <si>
    <t>Subscription Annual Recurring Revenue (ARR) represents the annualized quarterly run-rate value of our active or signed subscription agreements at the end of the period and is comprised of the ARR calculated for our SaaS, Support, and Optional Managed Services contracts. Under ASC Topic 606, Revenue from Contracts with Customers, we are required to recognize a significant portion of our Unbundled SaaS contracts at a point in time when the software is first made available to the customer, or at the beginning of the subscription term, despite the fact that our contracts typically call for billing these amounts annually or more frequently over the life of the subscription. This point-in-time recognition of a portion of our recurring revenue creates significant variability in the revenue recognized period to period based on the timing of the subscription start date and the subscription term and can create a significant difference between the timing of our revenue recognition and the actual customer billing under the contract. We use ARR to measure the underlying performance of our subscription-based contracts and mitigate the impact of this variability as ARR reduces fluctuations due to seasonality, contract term, and the sales mix of subscriptions. ARR should be viewed independently of revenue, and does not represent our revenue under ASC 606 on an annualized basis, as it is an operating metric that is impacted by contract start and end dates and renewal rates. ARR is not intended to be a replacement for forecasts of revenue and does not include revenue reported as nonrecurring revenue in our consolidated statement of operations. ARR does not have any standardized meaning and is therefore unlikely to be comparable to similarly titled measures presented by other companies. Investors should consider our ARR operating measure only in conjunction with our GAAP financial results.</t>
  </si>
  <si>
    <t>AI Annual Recurring Revenue (AI ARR) is the portion of ARR that is derived from solutions that include AI-functionality, and represents the annualized quarterly run-rate value of the associated active or signed SaaS agreements as of the end of a period.  At present, these AI solutions are hosted by Verint.</t>
  </si>
  <si>
    <t>7/31/2025</t>
  </si>
  <si>
    <t>Six Months Ended</t>
  </si>
  <si>
    <t>Nonrecurring perpetual revenue primarily consists of our perpetual licenses and hardware.</t>
  </si>
  <si>
    <t>Nonrecurring professional services and other revenue primarily consists of our installation services, business advisory consulting and training services, and patent royalties.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</si>
</sst>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quot;$&quot;#,##0.0_);[Red]\(&quot;$&quot;#,##0.0\)"/>
    <numFmt numFmtId="165" formatCode="0.0%"/>
    <numFmt numFmtId="166" formatCode="_(* #,##0_);_(* \(#,##0\);_(* &quot;-&quot;??_);_(@_)"/>
    <numFmt numFmtId="167" formatCode="_(&quot;$&quot;* #,##0.0_);_(&quot;$&quot;* \(#,##0.0\);_(&quot;$&quot;* &quot;-&quot;??_);_(@_)"/>
    <numFmt numFmtId="168" formatCode="_(* #,##0.0_);_(* \(#,##0.0\);_(* &quot;-&quot;?_);_(@_)"/>
    <numFmt numFmtId="169" formatCode="_(&quot;$&quot;* #,##0_);_(&quot;$&quot;* \(#,##0\);_(&quot;$&quot;* &quot;-&quot;??_);_(@_)"/>
    <numFmt numFmtId="170" formatCode="_(&quot;$&quot;* #,##0.000_);_(&quot;$&quot;* \(#,##0.000\);_(&quot;$&quot;* &quot;-&quot;??_);_(@_)"/>
    <numFmt numFmtId="171" formatCode="_(* #,##0.0_);_(* \(#,##0.0\);_(* &quot;-&quot;??_);_(@_)"/>
    <numFmt numFmtId="172" formatCode="_(* #,##0.000_);_(* \(#,##0.000\);_(* &quot;-&quot;??_);_(@_)"/>
    <numFmt numFmtId="173" formatCode="&quot;$&quot;#,##0.0_);\(&quot;$&quot;#,##0.0\)"/>
    <numFmt numFmtId="174" formatCode="_(* #,##0.000_);_(* \(#,##0.000\);_(* &quot;-&quot;?_);_(@_)"/>
  </numFmts>
  <fonts count="31">
    <font>
      <sz val="11"/>
      <color theme="1"/>
      <name val="Calibri"/>
      <family val="2"/>
      <scheme val="minor"/>
    </font>
    <font>
      <sz val="11"/>
      <color theme="1"/>
      <name val="Calibri"/>
      <family val="2"/>
      <scheme val="minor"/>
    </font>
    <font>
      <b/>
      <sz val="14"/>
      <color theme="1"/>
      <name val="Arial"/>
      <family val="2"/>
    </font>
    <font>
      <sz val="11"/>
      <color theme="1"/>
      <name val="Arial"/>
      <family val="2"/>
    </font>
    <font>
      <b/>
      <sz val="15"/>
      <color theme="0"/>
      <name val="Arial"/>
      <family val="2"/>
    </font>
    <font>
      <sz val="11"/>
      <color theme="0"/>
      <name val="Arial"/>
      <family val="2"/>
    </font>
    <font>
      <b/>
      <sz val="11"/>
      <color theme="0"/>
      <name val="Arial"/>
      <family val="2"/>
    </font>
    <font>
      <b/>
      <sz val="10.5"/>
      <color theme="0"/>
      <name val="Arial"/>
      <family val="2"/>
    </font>
    <font>
      <b/>
      <sz val="13"/>
      <name val="Arial"/>
      <family val="2"/>
    </font>
    <font>
      <sz val="13"/>
      <name val="Arial"/>
      <family val="2"/>
    </font>
    <font>
      <sz val="11"/>
      <name val="Arial"/>
      <family val="2"/>
    </font>
    <font>
      <b/>
      <i/>
      <sz val="13"/>
      <name val="Arial"/>
      <family val="2"/>
    </font>
    <font>
      <i/>
      <sz val="13"/>
      <name val="Arial"/>
      <family val="2"/>
    </font>
    <font>
      <b/>
      <sz val="11"/>
      <color theme="1"/>
      <name val="Arial"/>
      <family val="2"/>
    </font>
    <font>
      <b/>
      <sz val="11"/>
      <name val="Arial"/>
      <family val="2"/>
    </font>
    <font>
      <sz val="10"/>
      <name val="Arial"/>
      <family val="2"/>
    </font>
    <font>
      <sz val="13"/>
      <color rgb="FF000000"/>
      <name val="Arial"/>
      <family val="2"/>
    </font>
    <font>
      <b/>
      <vertAlign val="superscript"/>
      <sz val="13"/>
      <name val="Arial"/>
      <family val="2"/>
    </font>
    <font>
      <b/>
      <i/>
      <vertAlign val="superscript"/>
      <sz val="13"/>
      <name val="Arial"/>
      <family val="2"/>
    </font>
    <font>
      <sz val="8"/>
      <color theme="1"/>
      <name val="Arial"/>
      <family val="2"/>
    </font>
    <font>
      <sz val="8"/>
      <name val="Arial"/>
      <family val="2"/>
    </font>
    <font>
      <b/>
      <u/>
      <sz val="13"/>
      <name val="Arial"/>
      <family val="2"/>
    </font>
    <font>
      <sz val="13"/>
      <color theme="1"/>
      <name val="Arial"/>
      <family val="2"/>
    </font>
    <font>
      <i/>
      <sz val="8"/>
      <color theme="1"/>
      <name val="Arial"/>
      <family val="2"/>
    </font>
    <font>
      <b/>
      <sz val="13"/>
      <color theme="1"/>
      <name val="Arial"/>
      <family val="2"/>
    </font>
    <font>
      <sz val="15"/>
      <name val="Arial"/>
      <family val="2"/>
    </font>
    <font>
      <b/>
      <sz val="14"/>
      <name val="Arial"/>
      <family val="2"/>
    </font>
    <font>
      <u/>
      <sz val="13"/>
      <color theme="1"/>
      <name val="Arial"/>
      <family val="2"/>
    </font>
    <font>
      <sz val="10"/>
      <color theme="1"/>
      <name val="Arial"/>
      <family val="2"/>
    </font>
    <font>
      <u/>
      <sz val="13"/>
      <name val="Arial"/>
      <family val="2"/>
    </font>
    <font>
      <sz val="13"/>
      <name val="Ariak"/>
    </font>
  </fonts>
  <fills count="6">
    <fill>
      <patternFill patternType="none"/>
    </fill>
    <fill>
      <patternFill patternType="gray125"/>
    </fill>
    <fill>
      <patternFill patternType="solid">
        <fgColor theme="0"/>
        <bgColor indexed="64"/>
      </patternFill>
    </fill>
    <fill>
      <patternFill patternType="solid">
        <fgColor rgb="FF0079FF"/>
        <bgColor indexed="64"/>
      </patternFill>
    </fill>
    <fill>
      <patternFill patternType="solid">
        <fgColor theme="0" tint="-0.14996795556505021"/>
        <bgColor indexed="64"/>
      </patternFill>
    </fill>
    <fill>
      <patternFill patternType="solid">
        <fgColor indexed="9"/>
        <bgColor indexed="64"/>
      </patternFill>
    </fill>
  </fills>
  <borders count="13">
    <border>
      <left/>
      <right/>
      <top/>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rgb="FF000000"/>
      </bottom>
      <diagonal/>
    </border>
    <border>
      <left/>
      <right/>
      <top/>
      <bottom style="thin">
        <color theme="0" tint="-0.34998626667073579"/>
      </bottom>
      <diagonal/>
    </border>
    <border>
      <left style="medium">
        <color indexed="64"/>
      </left>
      <right style="medium">
        <color indexed="64"/>
      </right>
      <top style="medium">
        <color indexed="64"/>
      </top>
      <bottom/>
      <diagonal/>
    </border>
  </borders>
  <cellStyleXfs count="8">
    <xf numFmtId="0" fontId="0" fillId="0" borderId="0"/>
    <xf numFmtId="9" fontId="1" fillId="0" borderId="0" applyFont="0" applyFill="0" applyBorder="0" applyAlignment="0" applyProtection="0"/>
    <xf numFmtId="0" fontId="15" fillId="0" borderId="0"/>
    <xf numFmtId="43" fontId="15" fillId="0" borderId="0" applyFont="0" applyFill="0" applyBorder="0" applyAlignment="0" applyProtection="0"/>
    <xf numFmtId="44" fontId="15" fillId="0" borderId="0" applyFont="0" applyFill="0" applyBorder="0" applyAlignment="0" applyProtection="0"/>
    <xf numFmtId="0" fontId="15" fillId="0" borderId="0"/>
    <xf numFmtId="43" fontId="1" fillId="0" borderId="0" applyFont="0" applyFill="0" applyBorder="0" applyAlignment="0" applyProtection="0"/>
    <xf numFmtId="44" fontId="1" fillId="0" borderId="0" applyFont="0" applyFill="0" applyBorder="0" applyAlignment="0" applyProtection="0"/>
  </cellStyleXfs>
  <cellXfs count="111">
    <xf numFmtId="0" fontId="0" fillId="0" borderId="0" xfId="0"/>
    <xf numFmtId="0" fontId="2" fillId="2" borderId="0" xfId="0" applyFont="1" applyFill="1" applyAlignment="1">
      <alignment horizontal="left"/>
    </xf>
    <xf numFmtId="0" fontId="3" fillId="2" borderId="0" xfId="0" applyFont="1" applyFill="1"/>
    <xf numFmtId="0" fontId="5" fillId="2" borderId="0" xfId="0" applyFont="1" applyFill="1"/>
    <xf numFmtId="164" fontId="9" fillId="2" borderId="3" xfId="0" applyNumberFormat="1" applyFont="1" applyFill="1" applyBorder="1" applyAlignment="1">
      <alignment horizontal="center" vertical="center" wrapText="1" readingOrder="1"/>
    </xf>
    <xf numFmtId="0" fontId="11" fillId="2" borderId="4" xfId="0" applyFont="1" applyFill="1" applyBorder="1" applyAlignment="1">
      <alignment horizontal="left" vertical="center" wrapText="1" readingOrder="1"/>
    </xf>
    <xf numFmtId="165" fontId="12" fillId="2" borderId="3" xfId="1" applyNumberFormat="1" applyFont="1" applyFill="1" applyBorder="1" applyAlignment="1">
      <alignment horizontal="center" vertical="center" wrapText="1" readingOrder="1"/>
    </xf>
    <xf numFmtId="0" fontId="8" fillId="2" borderId="4" xfId="0" applyFont="1" applyFill="1" applyBorder="1" applyAlignment="1">
      <alignment horizontal="left" vertical="center" wrapText="1" readingOrder="1"/>
    </xf>
    <xf numFmtId="0" fontId="13" fillId="2" borderId="0" xfId="0" applyFont="1" applyFill="1"/>
    <xf numFmtId="164" fontId="3" fillId="2" borderId="0" xfId="0" applyNumberFormat="1" applyFont="1" applyFill="1"/>
    <xf numFmtId="0" fontId="16" fillId="2" borderId="0" xfId="0" quotePrefix="1" applyFont="1" applyFill="1" applyAlignment="1">
      <alignment horizontal="left" vertical="top" wrapText="1" readingOrder="1"/>
    </xf>
    <xf numFmtId="0" fontId="5" fillId="2" borderId="0" xfId="0" applyFont="1" applyFill="1" applyAlignment="1">
      <alignment horizontal="center"/>
    </xf>
    <xf numFmtId="0" fontId="6" fillId="3" borderId="6" xfId="0" applyFont="1" applyFill="1" applyBorder="1" applyAlignment="1">
      <alignment horizontal="center" vertical="center" wrapText="1" readingOrder="1"/>
    </xf>
    <xf numFmtId="14" fontId="6" fillId="3" borderId="6" xfId="0" applyNumberFormat="1" applyFont="1" applyFill="1" applyBorder="1" applyAlignment="1">
      <alignment horizontal="center" vertical="center" wrapText="1" readingOrder="1"/>
    </xf>
    <xf numFmtId="14" fontId="6" fillId="3" borderId="5" xfId="0" applyNumberFormat="1" applyFont="1" applyFill="1" applyBorder="1" applyAlignment="1">
      <alignment horizontal="center" vertical="center" wrapText="1" readingOrder="1"/>
    </xf>
    <xf numFmtId="0" fontId="4" fillId="3" borderId="1" xfId="0" applyFont="1" applyFill="1" applyBorder="1" applyAlignment="1">
      <alignment horizontal="left" vertical="center" wrapText="1" readingOrder="1"/>
    </xf>
    <xf numFmtId="0" fontId="7" fillId="3" borderId="2" xfId="0" applyFont="1" applyFill="1" applyBorder="1" applyAlignment="1">
      <alignment horizontal="left" vertical="center" wrapText="1" readingOrder="1"/>
    </xf>
    <xf numFmtId="164" fontId="9" fillId="0" borderId="3" xfId="0" applyNumberFormat="1" applyFont="1" applyBorder="1" applyAlignment="1">
      <alignment horizontal="center" vertical="center" wrapText="1" readingOrder="1"/>
    </xf>
    <xf numFmtId="0" fontId="9" fillId="2" borderId="4" xfId="0" applyFont="1" applyFill="1" applyBorder="1" applyAlignment="1">
      <alignment horizontal="left" vertical="center" wrapText="1" readingOrder="1"/>
    </xf>
    <xf numFmtId="0" fontId="8" fillId="2" borderId="10" xfId="0" applyFont="1" applyFill="1" applyBorder="1" applyAlignment="1">
      <alignment horizontal="left" vertical="center" wrapText="1" readingOrder="1"/>
    </xf>
    <xf numFmtId="164" fontId="9" fillId="2" borderId="10" xfId="0" applyNumberFormat="1" applyFont="1" applyFill="1" applyBorder="1" applyAlignment="1">
      <alignment horizontal="center" vertical="center" wrapText="1" readingOrder="1"/>
    </xf>
    <xf numFmtId="0" fontId="8" fillId="4" borderId="4" xfId="0" applyFont="1" applyFill="1" applyBorder="1" applyAlignment="1">
      <alignment horizontal="left" vertical="center" wrapText="1" readingOrder="1"/>
    </xf>
    <xf numFmtId="164" fontId="9" fillId="4" borderId="3" xfId="0" applyNumberFormat="1" applyFont="1" applyFill="1" applyBorder="1" applyAlignment="1">
      <alignment horizontal="center" vertical="center" wrapText="1" readingOrder="1"/>
    </xf>
    <xf numFmtId="0" fontId="3" fillId="0" borderId="0" xfId="0" applyFont="1"/>
    <xf numFmtId="0" fontId="5" fillId="0" borderId="0" xfId="0" applyFont="1"/>
    <xf numFmtId="0" fontId="5" fillId="0" borderId="0" xfId="0" applyFont="1" applyAlignment="1">
      <alignment horizontal="center"/>
    </xf>
    <xf numFmtId="0" fontId="10" fillId="0" borderId="0" xfId="0" applyFont="1"/>
    <xf numFmtId="164" fontId="8" fillId="2" borderId="3" xfId="0" applyNumberFormat="1" applyFont="1" applyFill="1" applyBorder="1" applyAlignment="1">
      <alignment horizontal="center" vertical="center" wrapText="1" readingOrder="1"/>
    </xf>
    <xf numFmtId="0" fontId="10" fillId="2" borderId="0" xfId="0" applyFont="1" applyFill="1"/>
    <xf numFmtId="0" fontId="14" fillId="2" borderId="0" xfId="0" applyFont="1" applyFill="1"/>
    <xf numFmtId="164" fontId="9" fillId="2" borderId="0" xfId="0" applyNumberFormat="1" applyFont="1" applyFill="1" applyAlignment="1">
      <alignment horizontal="center" vertical="center" wrapText="1" readingOrder="1"/>
    </xf>
    <xf numFmtId="0" fontId="8" fillId="2" borderId="0" xfId="0" applyFont="1" applyFill="1" applyAlignment="1">
      <alignment horizontal="left" vertical="center" wrapText="1" readingOrder="1"/>
    </xf>
    <xf numFmtId="164" fontId="9" fillId="0" borderId="0" xfId="0" applyNumberFormat="1" applyFont="1" applyAlignment="1">
      <alignment horizontal="center" vertical="center" wrapText="1" readingOrder="1"/>
    </xf>
    <xf numFmtId="0" fontId="12" fillId="2" borderId="3" xfId="1" applyNumberFormat="1" applyFont="1" applyFill="1" applyBorder="1" applyAlignment="1">
      <alignment horizontal="center" vertical="center" wrapText="1" readingOrder="1"/>
    </xf>
    <xf numFmtId="0" fontId="19" fillId="2" borderId="0" xfId="0" applyFont="1" applyFill="1"/>
    <xf numFmtId="0" fontId="20" fillId="2" borderId="0" xfId="2" applyFont="1" applyFill="1"/>
    <xf numFmtId="0" fontId="6" fillId="3" borderId="0" xfId="2" applyFont="1" applyFill="1"/>
    <xf numFmtId="0" fontId="6" fillId="3" borderId="0" xfId="2" applyFont="1" applyFill="1" applyAlignment="1">
      <alignment horizontal="center" wrapText="1"/>
    </xf>
    <xf numFmtId="166" fontId="6" fillId="3" borderId="0" xfId="3" quotePrefix="1" applyNumberFormat="1" applyFont="1" applyFill="1" applyAlignment="1">
      <alignment horizontal="center" wrapText="1"/>
    </xf>
    <xf numFmtId="0" fontId="21" fillId="5" borderId="0" xfId="2" applyFont="1" applyFill="1" applyAlignment="1">
      <alignment wrapText="1"/>
    </xf>
    <xf numFmtId="0" fontId="22" fillId="2" borderId="0" xfId="0" applyFont="1" applyFill="1"/>
    <xf numFmtId="0" fontId="8" fillId="2" borderId="0" xfId="5" applyFont="1" applyFill="1"/>
    <xf numFmtId="167" fontId="8" fillId="2" borderId="0" xfId="4" applyNumberFormat="1" applyFont="1" applyFill="1"/>
    <xf numFmtId="0" fontId="9" fillId="2" borderId="0" xfId="5" applyFont="1" applyFill="1"/>
    <xf numFmtId="168" fontId="9" fillId="2" borderId="11" xfId="2" applyNumberFormat="1" applyFont="1" applyFill="1" applyBorder="1"/>
    <xf numFmtId="0" fontId="8" fillId="5" borderId="0" xfId="2" applyFont="1" applyFill="1" applyAlignment="1">
      <alignment wrapText="1"/>
    </xf>
    <xf numFmtId="169" fontId="9" fillId="2" borderId="0" xfId="2" applyNumberFormat="1" applyFont="1" applyFill="1"/>
    <xf numFmtId="167" fontId="22" fillId="2" borderId="0" xfId="0" applyNumberFormat="1" applyFont="1" applyFill="1"/>
    <xf numFmtId="168" fontId="9" fillId="2" borderId="0" xfId="2" applyNumberFormat="1" applyFont="1" applyFill="1"/>
    <xf numFmtId="170" fontId="8" fillId="2" borderId="0" xfId="4" applyNumberFormat="1" applyFont="1" applyFill="1"/>
    <xf numFmtId="0" fontId="21" fillId="2" borderId="0" xfId="5" applyFont="1" applyFill="1"/>
    <xf numFmtId="166" fontId="19" fillId="2" borderId="0" xfId="6" applyNumberFormat="1" applyFont="1" applyFill="1"/>
    <xf numFmtId="0" fontId="23" fillId="2" borderId="0" xfId="0" applyFont="1" applyFill="1"/>
    <xf numFmtId="0" fontId="6" fillId="2" borderId="0" xfId="2" applyFont="1" applyFill="1"/>
    <xf numFmtId="166" fontId="6" fillId="2" borderId="0" xfId="3" quotePrefix="1" applyNumberFormat="1" applyFont="1" applyFill="1" applyAlignment="1">
      <alignment horizontal="center" wrapText="1"/>
    </xf>
    <xf numFmtId="0" fontId="21" fillId="5" borderId="0" xfId="2" applyFont="1" applyFill="1"/>
    <xf numFmtId="0" fontId="24" fillId="2" borderId="0" xfId="0" applyFont="1" applyFill="1"/>
    <xf numFmtId="167" fontId="24" fillId="2" borderId="0" xfId="7" applyNumberFormat="1" applyFont="1" applyFill="1"/>
    <xf numFmtId="166" fontId="22" fillId="2" borderId="0" xfId="6" applyNumberFormat="1" applyFont="1" applyFill="1"/>
    <xf numFmtId="170" fontId="22" fillId="2" borderId="0" xfId="0" applyNumberFormat="1" applyFont="1" applyFill="1"/>
    <xf numFmtId="171" fontId="22" fillId="2" borderId="0" xfId="6" applyNumberFormat="1" applyFont="1" applyFill="1"/>
    <xf numFmtId="171" fontId="22" fillId="2" borderId="0" xfId="0" applyNumberFormat="1" applyFont="1" applyFill="1"/>
    <xf numFmtId="172" fontId="22" fillId="2" borderId="0" xfId="0" applyNumberFormat="1" applyFont="1" applyFill="1"/>
    <xf numFmtId="171" fontId="9" fillId="5" borderId="11" xfId="2" applyNumberFormat="1" applyFont="1" applyFill="1" applyBorder="1"/>
    <xf numFmtId="168" fontId="8" fillId="2" borderId="0" xfId="4" applyNumberFormat="1" applyFont="1" applyFill="1"/>
    <xf numFmtId="168" fontId="22" fillId="2" borderId="0" xfId="0" applyNumberFormat="1" applyFont="1" applyFill="1"/>
    <xf numFmtId="165" fontId="24" fillId="2" borderId="0" xfId="1" applyNumberFormat="1" applyFont="1" applyFill="1"/>
    <xf numFmtId="171" fontId="22" fillId="2" borderId="0" xfId="6" applyNumberFormat="1" applyFont="1" applyFill="1" applyAlignment="1">
      <alignment horizontal="center"/>
    </xf>
    <xf numFmtId="0" fontId="9" fillId="5" borderId="0" xfId="2" applyFont="1" applyFill="1"/>
    <xf numFmtId="167" fontId="19" fillId="2" borderId="0" xfId="0" applyNumberFormat="1" applyFont="1" applyFill="1"/>
    <xf numFmtId="168" fontId="9" fillId="5" borderId="11" xfId="2" applyNumberFormat="1" applyFont="1" applyFill="1" applyBorder="1"/>
    <xf numFmtId="168" fontId="19" fillId="2" borderId="0" xfId="0" applyNumberFormat="1" applyFont="1" applyFill="1"/>
    <xf numFmtId="0" fontId="8" fillId="5" borderId="0" xfId="2" applyFont="1" applyFill="1"/>
    <xf numFmtId="168" fontId="9" fillId="5" borderId="0" xfId="2" applyNumberFormat="1" applyFont="1" applyFill="1"/>
    <xf numFmtId="0" fontId="25" fillId="5" borderId="0" xfId="2" applyFont="1" applyFill="1" applyAlignment="1">
      <alignment wrapText="1"/>
    </xf>
    <xf numFmtId="165" fontId="8" fillId="2" borderId="0" xfId="1" applyNumberFormat="1" applyFont="1" applyFill="1"/>
    <xf numFmtId="168" fontId="9" fillId="2" borderId="0" xfId="4" applyNumberFormat="1" applyFont="1" applyFill="1"/>
    <xf numFmtId="0" fontId="9" fillId="2" borderId="0" xfId="2" applyFont="1" applyFill="1"/>
    <xf numFmtId="167" fontId="8" fillId="2" borderId="0" xfId="4" applyNumberFormat="1" applyFont="1" applyFill="1" applyAlignment="1">
      <alignment vertical="top"/>
    </xf>
    <xf numFmtId="10" fontId="8" fillId="2" borderId="0" xfId="1" applyNumberFormat="1" applyFont="1" applyFill="1"/>
    <xf numFmtId="0" fontId="22" fillId="2" borderId="0" xfId="0" applyFont="1" applyFill="1" applyAlignment="1">
      <alignment vertical="top"/>
    </xf>
    <xf numFmtId="0" fontId="19" fillId="0" borderId="0" xfId="0" applyFont="1"/>
    <xf numFmtId="0" fontId="16" fillId="2" borderId="0" xfId="0" applyFont="1" applyFill="1" applyAlignment="1">
      <alignment horizontal="left" vertical="top" wrapText="1" readingOrder="1"/>
    </xf>
    <xf numFmtId="0" fontId="22" fillId="2" borderId="0" xfId="0" applyFont="1" applyFill="1" applyAlignment="1">
      <alignment wrapText="1"/>
    </xf>
    <xf numFmtId="168" fontId="8" fillId="2" borderId="0" xfId="7" applyNumberFormat="1" applyFont="1" applyFill="1"/>
    <xf numFmtId="0" fontId="4" fillId="3" borderId="12"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26" fillId="2" borderId="0" xfId="0" applyFont="1" applyFill="1" applyAlignment="1">
      <alignment wrapText="1"/>
    </xf>
    <xf numFmtId="0" fontId="27" fillId="2" borderId="0" xfId="0" applyFont="1" applyFill="1"/>
    <xf numFmtId="0" fontId="9" fillId="2" borderId="0" xfId="0" applyFont="1" applyFill="1" applyAlignment="1">
      <alignment wrapText="1"/>
    </xf>
    <xf numFmtId="0" fontId="21" fillId="2" borderId="0" xfId="0" applyFont="1" applyFill="1" applyAlignment="1">
      <alignment wrapText="1"/>
    </xf>
    <xf numFmtId="0" fontId="9" fillId="2" borderId="0" xfId="0" applyFont="1" applyFill="1" applyAlignment="1">
      <alignment horizontal="left" vertical="center" wrapText="1" readingOrder="1"/>
    </xf>
    <xf numFmtId="0" fontId="28" fillId="0" borderId="0" xfId="0" applyFont="1" applyAlignment="1">
      <alignment vertical="center"/>
    </xf>
    <xf numFmtId="0" fontId="29" fillId="2" borderId="0" xfId="0" applyFont="1" applyFill="1" applyAlignment="1">
      <alignment horizontal="left" vertical="center" wrapText="1" readingOrder="1"/>
    </xf>
    <xf numFmtId="0" fontId="30" fillId="2" borderId="0" xfId="0" applyFont="1" applyFill="1" applyAlignment="1">
      <alignment horizontal="left" vertical="center" wrapText="1" readingOrder="1"/>
    </xf>
    <xf numFmtId="44" fontId="19" fillId="2" borderId="0" xfId="0" applyNumberFormat="1" applyFont="1" applyFill="1"/>
    <xf numFmtId="44" fontId="22" fillId="2" borderId="0" xfId="0" applyNumberFormat="1" applyFont="1" applyFill="1"/>
    <xf numFmtId="173" fontId="9" fillId="2" borderId="3" xfId="0" applyNumberFormat="1" applyFont="1" applyFill="1" applyBorder="1" applyAlignment="1">
      <alignment horizontal="center" vertical="center" wrapText="1" readingOrder="1"/>
    </xf>
    <xf numFmtId="173" fontId="10" fillId="2" borderId="0" xfId="0" applyNumberFormat="1" applyFont="1" applyFill="1"/>
    <xf numFmtId="173" fontId="8" fillId="2" borderId="3" xfId="0" applyNumberFormat="1" applyFont="1" applyFill="1" applyBorder="1" applyAlignment="1">
      <alignment horizontal="center" vertical="center" wrapText="1" readingOrder="1"/>
    </xf>
    <xf numFmtId="0" fontId="9" fillId="2" borderId="0" xfId="0" applyFont="1" applyFill="1" applyAlignment="1">
      <alignment vertical="center" wrapText="1"/>
    </xf>
    <xf numFmtId="174" fontId="8" fillId="2" borderId="0" xfId="4" applyNumberFormat="1" applyFont="1" applyFill="1"/>
    <xf numFmtId="174" fontId="22" fillId="2" borderId="0" xfId="0" applyNumberFormat="1" applyFont="1" applyFill="1"/>
    <xf numFmtId="171" fontId="24" fillId="2" borderId="0" xfId="7" applyNumberFormat="1" applyFont="1" applyFill="1"/>
    <xf numFmtId="171" fontId="8" fillId="2" borderId="0" xfId="4" applyNumberFormat="1" applyFont="1" applyFill="1"/>
    <xf numFmtId="168" fontId="8" fillId="2" borderId="0" xfId="4" applyNumberFormat="1" applyFont="1" applyFill="1" applyAlignment="1">
      <alignment vertical="top"/>
    </xf>
    <xf numFmtId="0" fontId="6" fillId="3" borderId="7" xfId="0" applyFont="1" applyFill="1" applyBorder="1" applyAlignment="1">
      <alignment horizontal="center" vertical="center" wrapText="1" readingOrder="1"/>
    </xf>
    <xf numFmtId="0" fontId="6" fillId="3" borderId="9" xfId="0" applyFont="1" applyFill="1" applyBorder="1" applyAlignment="1">
      <alignment horizontal="center" vertical="center" wrapText="1" readingOrder="1"/>
    </xf>
    <xf numFmtId="0" fontId="6" fillId="3" borderId="8" xfId="0" applyFont="1" applyFill="1" applyBorder="1" applyAlignment="1">
      <alignment horizontal="center" vertical="center" wrapText="1" readingOrder="1"/>
    </xf>
    <xf numFmtId="0" fontId="0" fillId="0" borderId="8" xfId="0" applyBorder="1" applyAlignment="1">
      <alignment horizontal="center" vertical="center" wrapText="1" readingOrder="1"/>
    </xf>
    <xf numFmtId="0" fontId="6" fillId="3" borderId="0" xfId="2" applyFont="1" applyFill="1" applyAlignment="1">
      <alignment horizontal="center" wrapText="1"/>
    </xf>
  </cellXfs>
  <cellStyles count="8">
    <cellStyle name="Comma" xfId="6" builtinId="3"/>
    <cellStyle name="Comma 2" xfId="3" xr:uid="{DEF02301-5AA0-499D-8478-189EBEB85A98}"/>
    <cellStyle name="Currency" xfId="7" builtinId="4"/>
    <cellStyle name="Currency 2" xfId="4" xr:uid="{BCF9FF25-E98C-407C-885D-598BE6873838}"/>
    <cellStyle name="Normal" xfId="0" builtinId="0"/>
    <cellStyle name="Normal 2" xfId="2" xr:uid="{7E559461-870A-4F72-AB3A-A1ECDCF9D6EB}"/>
    <cellStyle name="Normal 3" xfId="5" xr:uid="{8B1253BC-0EC4-45DF-B896-F1D97EE94901}"/>
    <cellStyle name="Percent" xfId="1" builtinId="5"/>
  </cellStyles>
  <dxfs count="0"/>
  <tableStyles count="0" defaultTableStyle="TableStyleMedium2" defaultPivotStyle="PivotStyleLight16"/>
  <colors>
    <mruColors>
      <color rgb="FF0079FF"/>
      <color rgb="FFFF3300"/>
      <color rgb="FFFF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0F7F-EFEF-4514-B8C3-1C9BB4F67BDB}">
  <sheetPr codeName="Sheet2">
    <tabColor rgb="FF0079FF"/>
    <pageSetUpPr fitToPage="1"/>
  </sheetPr>
  <dimension ref="A1:T15"/>
  <sheetViews>
    <sheetView showGridLines="0" tabSelected="1" zoomScale="70" zoomScaleNormal="70" zoomScaleSheetLayoutView="85" workbookViewId="0">
      <pane xSplit="1" ySplit="4" topLeftCell="B5" activePane="bottomRight" state="frozen"/>
      <selection pane="topRight" activeCell="B1" sqref="B1"/>
      <selection pane="bottomLeft" activeCell="A6" sqref="A6"/>
      <selection pane="bottomRight" activeCell="B5" sqref="B5"/>
    </sheetView>
  </sheetViews>
  <sheetFormatPr defaultColWidth="9.1328125" defaultRowHeight="14.25"/>
  <cols>
    <col min="1" max="1" width="57.453125" style="2" bestFit="1" customWidth="1"/>
    <col min="2" max="2" width="1.453125" style="23" customWidth="1"/>
    <col min="3" max="6" width="14.76953125" style="2" customWidth="1"/>
    <col min="7" max="7" width="1.453125" style="23" customWidth="1"/>
    <col min="8" max="8" width="14.76953125" style="2" customWidth="1"/>
    <col min="9" max="9" width="1.76953125" style="23" customWidth="1"/>
    <col min="10" max="13" width="14.76953125" style="2" customWidth="1"/>
    <col min="14" max="14" width="1.453125" style="23" customWidth="1"/>
    <col min="15" max="15" width="14.76953125" style="2" customWidth="1"/>
    <col min="16" max="16" width="3.5" style="2" customWidth="1"/>
    <col min="17" max="18" width="14.76953125" style="2" customWidth="1"/>
    <col min="19" max="19" width="3.5" style="2" customWidth="1"/>
    <col min="20" max="20" width="14.76953125" style="2" customWidth="1"/>
    <col min="21" max="16384" width="9.1328125" style="2"/>
  </cols>
  <sheetData>
    <row r="1" spans="1:20" ht="18">
      <c r="A1" s="1" t="s">
        <v>100</v>
      </c>
    </row>
    <row r="2" spans="1:20" ht="15" thickBot="1">
      <c r="K2" s="9"/>
      <c r="L2" s="9"/>
    </row>
    <row r="3" spans="1:20" s="3" customFormat="1" ht="32.25" customHeight="1" thickBot="1">
      <c r="A3" s="15" t="s">
        <v>0</v>
      </c>
      <c r="B3" s="24"/>
      <c r="C3" s="106" t="s">
        <v>1</v>
      </c>
      <c r="D3" s="107"/>
      <c r="E3" s="107"/>
      <c r="F3" s="108"/>
      <c r="G3" s="24"/>
      <c r="H3" s="12" t="s">
        <v>2</v>
      </c>
      <c r="I3" s="24"/>
      <c r="J3" s="106" t="s">
        <v>1</v>
      </c>
      <c r="K3" s="107"/>
      <c r="L3" s="107"/>
      <c r="M3" s="109"/>
      <c r="N3" s="24"/>
      <c r="O3" s="12" t="s">
        <v>2</v>
      </c>
      <c r="Q3" s="106" t="s">
        <v>1</v>
      </c>
      <c r="R3" s="108"/>
      <c r="T3" s="12" t="s">
        <v>108</v>
      </c>
    </row>
    <row r="4" spans="1:20" s="11" customFormat="1" ht="33.75" customHeight="1" thickBot="1">
      <c r="A4" s="16" t="s">
        <v>4</v>
      </c>
      <c r="B4" s="25"/>
      <c r="C4" s="14" t="s">
        <v>3</v>
      </c>
      <c r="D4" s="14">
        <v>45138</v>
      </c>
      <c r="E4" s="14">
        <v>45230</v>
      </c>
      <c r="F4" s="14">
        <v>45322</v>
      </c>
      <c r="G4" s="25"/>
      <c r="H4" s="13">
        <v>45322</v>
      </c>
      <c r="I4" s="25"/>
      <c r="J4" s="14">
        <v>45412</v>
      </c>
      <c r="K4" s="14">
        <v>45504</v>
      </c>
      <c r="L4" s="14">
        <v>45596</v>
      </c>
      <c r="M4" s="14">
        <v>45688</v>
      </c>
      <c r="N4" s="25"/>
      <c r="O4" s="13">
        <v>45688</v>
      </c>
      <c r="Q4" s="14">
        <v>45777</v>
      </c>
      <c r="R4" s="14">
        <v>45869</v>
      </c>
      <c r="T4" s="13">
        <v>45869</v>
      </c>
    </row>
    <row r="5" spans="1:20" ht="25.5" customHeight="1" thickBot="1">
      <c r="A5" s="21" t="s">
        <v>6</v>
      </c>
      <c r="B5" s="26"/>
      <c r="C5" s="22">
        <v>667.68373768367155</v>
      </c>
      <c r="D5" s="22">
        <v>665.0175171760003</v>
      </c>
      <c r="E5" s="22">
        <v>670.51994957519992</v>
      </c>
      <c r="F5" s="22">
        <v>676.63081570279974</v>
      </c>
      <c r="G5" s="26"/>
      <c r="H5" s="22">
        <f>F5</f>
        <v>676.63081570279974</v>
      </c>
      <c r="I5" s="26"/>
      <c r="J5" s="22">
        <v>668.13999286674607</v>
      </c>
      <c r="K5" s="22">
        <v>684.69171952785393</v>
      </c>
      <c r="L5" s="22">
        <v>695.3191171908104</v>
      </c>
      <c r="M5" s="22">
        <v>711.75300000000004</v>
      </c>
      <c r="N5" s="26"/>
      <c r="O5" s="22">
        <f>M5</f>
        <v>711.75300000000004</v>
      </c>
      <c r="Q5" s="22">
        <v>709.99199999999996</v>
      </c>
      <c r="R5" s="22">
        <v>728.49199999999996</v>
      </c>
      <c r="T5" s="22">
        <f>R5</f>
        <v>728.49199999999996</v>
      </c>
    </row>
    <row r="6" spans="1:20" ht="25.5" customHeight="1" thickBot="1">
      <c r="A6" s="5" t="s">
        <v>7</v>
      </c>
      <c r="B6" s="26"/>
      <c r="C6" s="33"/>
      <c r="D6" s="6"/>
      <c r="E6" s="6"/>
      <c r="F6" s="6"/>
      <c r="G6" s="26"/>
      <c r="H6" s="6"/>
      <c r="I6" s="26"/>
      <c r="J6" s="6">
        <f>+J5/C5-1</f>
        <v>6.8334026624250477E-4</v>
      </c>
      <c r="K6" s="6">
        <f>+K5/D5-1</f>
        <v>2.9584487391249858E-2</v>
      </c>
      <c r="L6" s="6">
        <f>+L5/E5-1</f>
        <v>3.6984981030499853E-2</v>
      </c>
      <c r="M6" s="6">
        <f>+M5/F5-1</f>
        <v>5.1907456004231411E-2</v>
      </c>
      <c r="N6" s="26"/>
      <c r="O6" s="6">
        <f>+O5/H5-1</f>
        <v>5.1907456004231411E-2</v>
      </c>
      <c r="Q6" s="6">
        <f>+Q5/J5-1</f>
        <v>6.2639577902951382E-2</v>
      </c>
      <c r="R6" s="6">
        <f>+R5/K5-1</f>
        <v>6.3970804995786335E-2</v>
      </c>
      <c r="T6" s="6">
        <f>+T5/K5-1</f>
        <v>6.3970804995786335E-2</v>
      </c>
    </row>
    <row r="7" spans="1:20" ht="25.5" customHeight="1" thickBot="1">
      <c r="A7" s="7"/>
      <c r="B7" s="26"/>
      <c r="C7" s="4"/>
      <c r="D7" s="4"/>
      <c r="E7" s="4"/>
      <c r="F7" s="4"/>
      <c r="G7" s="26"/>
      <c r="H7" s="4"/>
      <c r="I7" s="26"/>
      <c r="J7" s="17"/>
      <c r="K7" s="17"/>
      <c r="L7" s="17"/>
      <c r="M7" s="4"/>
      <c r="N7" s="26"/>
      <c r="O7" s="4"/>
      <c r="Q7" s="17"/>
      <c r="R7" s="17"/>
      <c r="T7" s="4"/>
    </row>
    <row r="8" spans="1:20" ht="25.5" customHeight="1" thickBot="1">
      <c r="A8" s="21" t="s">
        <v>103</v>
      </c>
      <c r="B8" s="26"/>
      <c r="C8" s="22">
        <v>261.76253820599464</v>
      </c>
      <c r="D8" s="22">
        <v>266.09723890440006</v>
      </c>
      <c r="E8" s="22">
        <v>274.5792527375998</v>
      </c>
      <c r="F8" s="22">
        <v>283.03597989879984</v>
      </c>
      <c r="G8" s="26"/>
      <c r="H8" s="22">
        <f>F8</f>
        <v>283.03597989879984</v>
      </c>
      <c r="I8" s="26"/>
      <c r="J8" s="22">
        <v>285.07921742029333</v>
      </c>
      <c r="K8" s="22">
        <v>307.04522340400007</v>
      </c>
      <c r="L8" s="22">
        <v>319.08211313520002</v>
      </c>
      <c r="M8" s="22">
        <v>334.15763157529983</v>
      </c>
      <c r="N8" s="26"/>
      <c r="O8" s="22">
        <f>M8</f>
        <v>334.15763157529983</v>
      </c>
      <c r="Q8" s="22">
        <v>353.90564660445068</v>
      </c>
      <c r="R8" s="22">
        <v>372.0163813133338</v>
      </c>
      <c r="T8" s="22">
        <f>R8</f>
        <v>372.0163813133338</v>
      </c>
    </row>
    <row r="9" spans="1:20" ht="25.5" customHeight="1" thickBot="1">
      <c r="A9" s="5" t="s">
        <v>7</v>
      </c>
      <c r="B9" s="26"/>
      <c r="C9" s="6"/>
      <c r="D9" s="6"/>
      <c r="E9" s="6"/>
      <c r="F9" s="6"/>
      <c r="G9" s="26"/>
      <c r="H9" s="6"/>
      <c r="I9" s="26"/>
      <c r="J9" s="6">
        <f>+J8/C8-1</f>
        <v>8.907569193858289E-2</v>
      </c>
      <c r="K9" s="6">
        <f>+K8/D8-1</f>
        <v>0.15388353771799657</v>
      </c>
      <c r="L9" s="6">
        <f>+L8/E8-1</f>
        <v>0.16207655878548533</v>
      </c>
      <c r="M9" s="6">
        <f>+M8/F8-1</f>
        <v>0.18061891528694929</v>
      </c>
      <c r="N9" s="26"/>
      <c r="O9" s="6">
        <f>+O8/H8-1</f>
        <v>0.18061891528694929</v>
      </c>
      <c r="Q9" s="6">
        <f>+Q8/J8-1</f>
        <v>0.24142913610810957</v>
      </c>
      <c r="R9" s="6">
        <f>+R8/K8-1</f>
        <v>0.21160126573226901</v>
      </c>
      <c r="T9" s="6">
        <f>+T8/K8-1</f>
        <v>0.21160126573226901</v>
      </c>
    </row>
    <row r="10" spans="1:20" ht="25.5" customHeight="1" thickBot="1">
      <c r="A10" s="7"/>
      <c r="B10" s="26"/>
      <c r="C10" s="4"/>
      <c r="D10" s="4"/>
      <c r="E10" s="4"/>
      <c r="F10" s="4"/>
      <c r="G10" s="26"/>
      <c r="H10" s="4"/>
      <c r="I10" s="26"/>
      <c r="J10" s="17"/>
      <c r="K10" s="17"/>
      <c r="L10" s="17"/>
      <c r="M10" s="4"/>
      <c r="N10" s="26"/>
      <c r="O10" s="4"/>
      <c r="Q10" s="17"/>
      <c r="R10" s="17"/>
      <c r="T10" s="4"/>
    </row>
    <row r="11" spans="1:20" ht="25.5" customHeight="1" thickBot="1">
      <c r="A11" s="21" t="s">
        <v>102</v>
      </c>
      <c r="B11" s="26"/>
      <c r="C11" s="22">
        <f>C5-C8</f>
        <v>405.92119947767691</v>
      </c>
      <c r="D11" s="22">
        <f>D5-D8</f>
        <v>398.92027827160024</v>
      </c>
      <c r="E11" s="22">
        <f>E5-E8</f>
        <v>395.94069683760011</v>
      </c>
      <c r="F11" s="22">
        <f>F5-F8</f>
        <v>393.5948358039999</v>
      </c>
      <c r="G11" s="26"/>
      <c r="H11" s="22">
        <f>F11</f>
        <v>393.5948358039999</v>
      </c>
      <c r="I11" s="26"/>
      <c r="J11" s="22">
        <f>J5-J8</f>
        <v>383.06077544645274</v>
      </c>
      <c r="K11" s="22">
        <f t="shared" ref="K11:M11" si="0">K5-K8</f>
        <v>377.64649612385386</v>
      </c>
      <c r="L11" s="22">
        <f t="shared" si="0"/>
        <v>376.23700405561038</v>
      </c>
      <c r="M11" s="22">
        <f t="shared" si="0"/>
        <v>377.59536842470021</v>
      </c>
      <c r="N11" s="26"/>
      <c r="O11" s="22">
        <f>M11</f>
        <v>377.59536842470021</v>
      </c>
      <c r="Q11" s="22">
        <f t="shared" ref="Q11" si="1">Q5-Q8</f>
        <v>356.08635339554928</v>
      </c>
      <c r="R11" s="22">
        <f>R5-R8</f>
        <v>356.47561868666617</v>
      </c>
      <c r="T11" s="22">
        <f>R11</f>
        <v>356.47561868666617</v>
      </c>
    </row>
    <row r="12" spans="1:20" ht="25.5" customHeight="1" thickBot="1">
      <c r="A12" s="5" t="s">
        <v>7</v>
      </c>
      <c r="B12" s="26"/>
      <c r="C12" s="6"/>
      <c r="D12" s="6"/>
      <c r="E12" s="6"/>
      <c r="F12" s="6"/>
      <c r="G12" s="26"/>
      <c r="H12" s="6"/>
      <c r="I12" s="26"/>
      <c r="J12" s="6">
        <f>+J11/C11-1</f>
        <v>-5.6317393771599167E-2</v>
      </c>
      <c r="K12" s="6">
        <f>+K11/D11-1</f>
        <v>-5.3328404963315368E-2</v>
      </c>
      <c r="L12" s="6">
        <f>+L11/E11-1</f>
        <v>-4.9764252423062816E-2</v>
      </c>
      <c r="M12" s="6">
        <f>+M11/F11-1</f>
        <v>-4.0649586640580382E-2</v>
      </c>
      <c r="N12" s="26"/>
      <c r="O12" s="6">
        <f>+O11/H11-1</f>
        <v>-4.0649586640580382E-2</v>
      </c>
      <c r="Q12" s="6">
        <f>+Q11/J11-1</f>
        <v>-7.0418126260683001E-2</v>
      </c>
      <c r="R12" s="6">
        <f>+R11/K11-1</f>
        <v>-5.6060039360843028E-2</v>
      </c>
      <c r="T12" s="6">
        <f>+T11/K11-1</f>
        <v>-5.6060039360843028E-2</v>
      </c>
    </row>
    <row r="13" spans="1:20" ht="25.5" customHeight="1">
      <c r="A13" s="31"/>
      <c r="B13" s="26"/>
      <c r="C13" s="30"/>
      <c r="D13" s="30"/>
      <c r="E13" s="30"/>
      <c r="F13" s="30"/>
      <c r="G13" s="26"/>
      <c r="H13" s="30"/>
      <c r="I13" s="26"/>
      <c r="J13" s="32"/>
      <c r="K13" s="32"/>
      <c r="L13" s="32"/>
      <c r="M13" s="30"/>
      <c r="N13" s="26"/>
      <c r="O13" s="30"/>
      <c r="Q13" s="32"/>
      <c r="R13" s="32"/>
      <c r="T13" s="30"/>
    </row>
    <row r="15" spans="1:20" ht="33.5">
      <c r="A15" s="10" t="s">
        <v>10</v>
      </c>
    </row>
  </sheetData>
  <mergeCells count="3">
    <mergeCell ref="C3:F3"/>
    <mergeCell ref="J3:M3"/>
    <mergeCell ref="Q3:R3"/>
  </mergeCells>
  <pageMargins left="0.25" right="0.25" top="0.75" bottom="0.75" header="0.3" footer="0.3"/>
  <pageSetup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C0F32-CFAD-4AFE-8CC1-E3718F0553ED}">
  <sheetPr>
    <tabColor rgb="FF0079FF"/>
  </sheetPr>
  <dimension ref="A1:E15"/>
  <sheetViews>
    <sheetView zoomScale="70" zoomScaleNormal="70" workbookViewId="0">
      <pane xSplit="2" ySplit="4" topLeftCell="C5" activePane="bottomRight" state="frozen"/>
      <selection pane="topRight" activeCell="C1" sqref="C1"/>
      <selection pane="bottomLeft" activeCell="A5" sqref="A5"/>
      <selection pane="bottomRight" activeCell="C5" sqref="C5"/>
    </sheetView>
  </sheetViews>
  <sheetFormatPr defaultColWidth="9.1328125" defaultRowHeight="14.25"/>
  <cols>
    <col min="1" max="1" width="76.5" style="2" customWidth="1"/>
    <col min="2" max="2" width="1.453125" style="2" customWidth="1"/>
    <col min="3" max="3" width="13.76953125" style="2" customWidth="1"/>
    <col min="4" max="4" width="0.5" style="2" customWidth="1"/>
    <col min="5" max="5" width="13.76953125" style="2" customWidth="1"/>
    <col min="6" max="16384" width="9.1328125" style="2"/>
  </cols>
  <sheetData>
    <row r="1" spans="1:5" ht="18">
      <c r="A1" s="1" t="s">
        <v>95</v>
      </c>
    </row>
    <row r="2" spans="1:5" ht="15" thickBot="1"/>
    <row r="3" spans="1:5" s="3" customFormat="1" ht="26.25" customHeight="1" thickBot="1">
      <c r="A3" s="85" t="s">
        <v>0</v>
      </c>
      <c r="C3" s="106" t="s">
        <v>2</v>
      </c>
      <c r="D3" s="107"/>
      <c r="E3" s="108"/>
    </row>
    <row r="4" spans="1:5" s="11" customFormat="1" ht="27" customHeight="1" thickBot="1">
      <c r="A4" s="86" t="s">
        <v>4</v>
      </c>
      <c r="C4" s="13">
        <v>45322</v>
      </c>
      <c r="E4" s="13">
        <v>45688</v>
      </c>
    </row>
    <row r="5" spans="1:5" ht="16" customHeight="1" thickBot="1">
      <c r="A5" s="19"/>
      <c r="B5" s="28"/>
      <c r="C5" s="20"/>
      <c r="D5" s="28"/>
      <c r="E5" s="20"/>
    </row>
    <row r="6" spans="1:5" ht="25.5" customHeight="1" thickBot="1">
      <c r="A6" s="21" t="s">
        <v>5</v>
      </c>
      <c r="B6" s="28"/>
      <c r="C6" s="22"/>
      <c r="D6" s="28"/>
      <c r="E6" s="22"/>
    </row>
    <row r="7" spans="1:5" ht="25.5" customHeight="1" thickBot="1">
      <c r="A7" s="7" t="s">
        <v>8</v>
      </c>
      <c r="B7" s="28"/>
      <c r="C7" s="4">
        <v>676.63099999999997</v>
      </c>
      <c r="D7" s="28"/>
      <c r="E7" s="4">
        <v>711.75300000000004</v>
      </c>
    </row>
    <row r="8" spans="1:5" ht="39" customHeight="1" thickBot="1">
      <c r="A8" s="18" t="s">
        <v>96</v>
      </c>
      <c r="B8" s="28"/>
      <c r="C8" s="4">
        <v>211.13899999999998</v>
      </c>
      <c r="D8" s="28"/>
      <c r="E8" s="4">
        <v>201.06900000000002</v>
      </c>
    </row>
    <row r="9" spans="1:5" s="8" customFormat="1" ht="25.5" customHeight="1" thickBot="1">
      <c r="A9" s="7" t="s">
        <v>5</v>
      </c>
      <c r="B9" s="28"/>
      <c r="C9" s="27">
        <f>C7+C8</f>
        <v>887.77</v>
      </c>
      <c r="D9" s="28"/>
      <c r="E9" s="27">
        <f>E7+E8</f>
        <v>912.82200000000012</v>
      </c>
    </row>
    <row r="10" spans="1:5" ht="25.5" customHeight="1" thickBot="1">
      <c r="A10" s="18" t="s">
        <v>9</v>
      </c>
      <c r="B10" s="28"/>
      <c r="C10" s="4">
        <v>664.06600000000003</v>
      </c>
      <c r="D10" s="28"/>
      <c r="E10" s="4">
        <v>684.74900000000002</v>
      </c>
    </row>
    <row r="11" spans="1:5" s="8" customFormat="1" ht="25.5" customHeight="1" thickBot="1">
      <c r="A11" s="7" t="s">
        <v>11</v>
      </c>
      <c r="B11" s="28"/>
      <c r="C11" s="27">
        <f>C9-C10</f>
        <v>223.70399999999995</v>
      </c>
      <c r="D11" s="28"/>
      <c r="E11" s="27">
        <f>E9-E10</f>
        <v>228.07300000000009</v>
      </c>
    </row>
    <row r="13" spans="1:5" ht="33.5">
      <c r="A13" s="10" t="s">
        <v>10</v>
      </c>
    </row>
    <row r="15" spans="1:5" ht="50.25">
      <c r="A15" s="10" t="s">
        <v>69</v>
      </c>
    </row>
  </sheetData>
  <mergeCells count="1">
    <mergeCell ref="C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EDF12-8C78-4F21-BEC0-DE74AC72B144}">
  <sheetPr>
    <tabColor rgb="FF0079FF"/>
  </sheetPr>
  <dimension ref="A1:O14"/>
  <sheetViews>
    <sheetView zoomScale="70" zoomScaleNormal="70" workbookViewId="0">
      <pane xSplit="2" ySplit="4" topLeftCell="C5" activePane="bottomRight" state="frozen"/>
      <selection pane="topRight" activeCell="C1" sqref="C1"/>
      <selection pane="bottomLeft" activeCell="A5" sqref="A5"/>
      <selection pane="bottomRight" activeCell="C5" sqref="C5"/>
    </sheetView>
  </sheetViews>
  <sheetFormatPr defaultColWidth="9.1328125" defaultRowHeight="14.25"/>
  <cols>
    <col min="1" max="1" width="64.5" style="2" customWidth="1"/>
    <col min="2" max="2" width="1.453125" style="2" customWidth="1"/>
    <col min="3" max="3" width="13.76953125" style="2" customWidth="1"/>
    <col min="4" max="4" width="1.453125" style="2" customWidth="1"/>
    <col min="5" max="8" width="13.76953125" style="2" customWidth="1"/>
    <col min="9" max="9" width="1.453125" style="2" customWidth="1"/>
    <col min="10" max="10" width="13.76953125" style="2" customWidth="1"/>
    <col min="11" max="11" width="2.76953125" style="2" customWidth="1"/>
    <col min="12" max="13" width="13.76953125" style="2" customWidth="1"/>
    <col min="14" max="14" width="1.453125" style="2" customWidth="1"/>
    <col min="15" max="15" width="18.1328125" style="2" customWidth="1"/>
    <col min="16" max="16384" width="9.1328125" style="2"/>
  </cols>
  <sheetData>
    <row r="1" spans="1:15" ht="18">
      <c r="A1" s="1" t="s">
        <v>70</v>
      </c>
    </row>
    <row r="2" spans="1:15" ht="15" thickBot="1"/>
    <row r="3" spans="1:15" s="3" customFormat="1" ht="31" customHeight="1" thickBot="1">
      <c r="A3" s="85" t="s">
        <v>0</v>
      </c>
      <c r="C3" s="12" t="s">
        <v>2</v>
      </c>
      <c r="E3" s="106" t="s">
        <v>1</v>
      </c>
      <c r="F3" s="107"/>
      <c r="G3" s="107"/>
      <c r="H3" s="109"/>
      <c r="J3" s="12" t="s">
        <v>2</v>
      </c>
      <c r="L3" s="106" t="s">
        <v>1</v>
      </c>
      <c r="M3" s="108"/>
      <c r="O3" s="12" t="s">
        <v>108</v>
      </c>
    </row>
    <row r="4" spans="1:15" s="11" customFormat="1" ht="27" customHeight="1" thickBot="1">
      <c r="A4" s="86" t="s">
        <v>4</v>
      </c>
      <c r="C4" s="13">
        <v>45322</v>
      </c>
      <c r="E4" s="13">
        <v>45412</v>
      </c>
      <c r="F4" s="13">
        <v>45504</v>
      </c>
      <c r="G4" s="13">
        <v>45596</v>
      </c>
      <c r="H4" s="13">
        <v>45688</v>
      </c>
      <c r="J4" s="13">
        <v>45688</v>
      </c>
      <c r="L4" s="13">
        <v>45777</v>
      </c>
      <c r="M4" s="13">
        <v>45869</v>
      </c>
      <c r="O4" s="13">
        <v>45869</v>
      </c>
    </row>
    <row r="5" spans="1:15" ht="16" customHeight="1" thickBot="1">
      <c r="A5" s="19"/>
      <c r="B5" s="28"/>
      <c r="C5" s="20"/>
      <c r="D5" s="28"/>
      <c r="E5" s="20"/>
      <c r="F5" s="20"/>
      <c r="G5" s="20"/>
      <c r="H5" s="20"/>
      <c r="I5" s="28"/>
      <c r="J5" s="20"/>
      <c r="K5" s="28"/>
      <c r="L5" s="20"/>
      <c r="M5" s="20"/>
      <c r="N5" s="28"/>
      <c r="O5" s="20"/>
    </row>
    <row r="6" spans="1:15" ht="25.5" customHeight="1" thickBot="1">
      <c r="A6" s="21"/>
      <c r="B6" s="28"/>
      <c r="C6" s="22"/>
      <c r="D6" s="28"/>
      <c r="E6" s="22"/>
      <c r="F6" s="22"/>
      <c r="G6" s="22"/>
      <c r="H6" s="22"/>
      <c r="I6" s="28"/>
      <c r="J6" s="22"/>
      <c r="K6" s="28"/>
      <c r="L6" s="22"/>
      <c r="M6" s="22"/>
      <c r="N6" s="28"/>
      <c r="O6" s="22"/>
    </row>
    <row r="7" spans="1:15" ht="25.5" customHeight="1" thickBot="1">
      <c r="A7" s="7" t="s">
        <v>98</v>
      </c>
      <c r="B7" s="28"/>
      <c r="C7" s="97">
        <v>150.642</v>
      </c>
      <c r="D7" s="98"/>
      <c r="E7" s="97">
        <v>60.716999999999999</v>
      </c>
      <c r="F7" s="97">
        <f>64.58-E7</f>
        <v>3.8629999999999995</v>
      </c>
      <c r="G7" s="97">
        <f>98.227-F7-E7</f>
        <v>33.647000000000006</v>
      </c>
      <c r="H7" s="97">
        <f>157.447-G7-F7-E7</f>
        <v>59.22</v>
      </c>
      <c r="I7" s="98"/>
      <c r="J7" s="97">
        <f>SUM(E7:H7)</f>
        <v>157.447</v>
      </c>
      <c r="K7" s="98"/>
      <c r="L7" s="97">
        <v>26.323</v>
      </c>
      <c r="M7" s="97">
        <f>45.434-L7</f>
        <v>19.110999999999997</v>
      </c>
      <c r="N7" s="98"/>
      <c r="O7" s="97">
        <f>SUM(L7:M7)</f>
        <v>45.433999999999997</v>
      </c>
    </row>
    <row r="8" spans="1:15" ht="25.5" customHeight="1" thickBot="1">
      <c r="A8" s="18" t="s">
        <v>12</v>
      </c>
      <c r="B8" s="28"/>
      <c r="C8" s="97">
        <v>16.114000000000001</v>
      </c>
      <c r="D8" s="98"/>
      <c r="E8" s="97">
        <v>3.5910000000000002</v>
      </c>
      <c r="F8" s="97">
        <f>7.868-E8</f>
        <v>4.2770000000000001</v>
      </c>
      <c r="G8" s="97">
        <f>12.173-F8-E8</f>
        <v>4.3049999999999997</v>
      </c>
      <c r="H8" s="97">
        <f>15.338-G8-F8-E8</f>
        <v>3.1649999999999991</v>
      </c>
      <c r="I8" s="98"/>
      <c r="J8" s="97">
        <f>SUM(E8:H8)</f>
        <v>15.337999999999999</v>
      </c>
      <c r="K8" s="98"/>
      <c r="L8" s="97">
        <v>3.1680000000000001</v>
      </c>
      <c r="M8" s="97">
        <f>6.056-L8</f>
        <v>2.8879999999999999</v>
      </c>
      <c r="N8" s="98"/>
      <c r="O8" s="97">
        <f>SUM(L8:M8)</f>
        <v>6.056</v>
      </c>
    </row>
    <row r="9" spans="1:15" s="8" customFormat="1" ht="39.75" customHeight="1" thickBot="1">
      <c r="A9" s="18" t="s">
        <v>13</v>
      </c>
      <c r="B9" s="28"/>
      <c r="C9" s="97">
        <v>9.6229999999999993</v>
      </c>
      <c r="D9" s="98"/>
      <c r="E9" s="97">
        <v>2.5379999999999998</v>
      </c>
      <c r="F9" s="97">
        <f>5.701-E9</f>
        <v>3.1629999999999998</v>
      </c>
      <c r="G9" s="97">
        <f>9.056-F9-E9</f>
        <v>3.3549999999999991</v>
      </c>
      <c r="H9" s="97">
        <f>12.228-G9-F9-E9</f>
        <v>3.172000000000001</v>
      </c>
      <c r="I9" s="98"/>
      <c r="J9" s="97">
        <f>SUM(E9:H9)</f>
        <v>12.228</v>
      </c>
      <c r="K9" s="98"/>
      <c r="L9" s="97">
        <v>2.8570000000000002</v>
      </c>
      <c r="M9" s="97">
        <f>5.602-L9</f>
        <v>2.7450000000000001</v>
      </c>
      <c r="N9" s="98"/>
      <c r="O9" s="97">
        <f>SUM(L9:M9)</f>
        <v>5.6020000000000003</v>
      </c>
    </row>
    <row r="10" spans="1:15" ht="25.5" customHeight="1" thickBot="1">
      <c r="A10" s="7" t="s">
        <v>70</v>
      </c>
      <c r="B10" s="29"/>
      <c r="C10" s="99">
        <f>C7-C8-C9</f>
        <v>124.90499999999999</v>
      </c>
      <c r="D10" s="98"/>
      <c r="E10" s="99">
        <f>E7-E8-E9</f>
        <v>54.588000000000001</v>
      </c>
      <c r="F10" s="99">
        <f>F7-F8-F9</f>
        <v>-3.5770000000000004</v>
      </c>
      <c r="G10" s="99">
        <f>G7-G8-G9</f>
        <v>25.987000000000005</v>
      </c>
      <c r="H10" s="99">
        <f>H7-H8-H9</f>
        <v>52.882999999999996</v>
      </c>
      <c r="I10" s="98"/>
      <c r="J10" s="99">
        <f>J7-J8-J9</f>
        <v>129.881</v>
      </c>
      <c r="K10" s="98"/>
      <c r="L10" s="99">
        <f>L7-L8-L9</f>
        <v>20.298000000000002</v>
      </c>
      <c r="M10" s="99">
        <f>M7-M8-M9</f>
        <v>13.477999999999998</v>
      </c>
      <c r="N10" s="98"/>
      <c r="O10" s="99">
        <f>O7-O8-O9</f>
        <v>33.775999999999996</v>
      </c>
    </row>
    <row r="11" spans="1:15">
      <c r="D11" s="28"/>
      <c r="I11" s="28"/>
      <c r="K11" s="28"/>
      <c r="N11" s="28"/>
    </row>
    <row r="12" spans="1:15" ht="16.75">
      <c r="A12" s="10"/>
      <c r="D12" s="28"/>
      <c r="I12" s="28"/>
      <c r="K12" s="28"/>
      <c r="N12" s="28"/>
    </row>
    <row r="13" spans="1:15">
      <c r="D13" s="28"/>
      <c r="I13" s="28"/>
      <c r="K13" s="28"/>
      <c r="N13" s="28"/>
    </row>
    <row r="14" spans="1:15" ht="16.75">
      <c r="A14" s="10"/>
    </row>
  </sheetData>
  <mergeCells count="2">
    <mergeCell ref="E3:H3"/>
    <mergeCell ref="L3:M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0DD16-94E9-479A-9882-3218D30F6E66}">
  <sheetPr>
    <tabColor theme="0" tint="-4.9989318521683403E-2"/>
  </sheetPr>
  <dimension ref="A1"/>
  <sheetViews>
    <sheetView workbookViewId="0"/>
  </sheetViews>
  <sheetFormatPr defaultRowHeight="14.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47F1-EF57-437C-8EBD-95F500F43F1B}">
  <sheetPr>
    <tabColor theme="0" tint="-4.9989318521683403E-2"/>
    <pageSetUpPr fitToPage="1"/>
  </sheetPr>
  <dimension ref="A1:T28"/>
  <sheetViews>
    <sheetView zoomScale="65" zoomScaleNormal="65" zoomScaleSheetLayoutView="85" workbookViewId="0">
      <pane xSplit="1" ySplit="4" topLeftCell="B5" activePane="bottomRight" state="frozen"/>
      <selection activeCell="E39" sqref="E39"/>
      <selection pane="topRight" activeCell="E39" sqref="E39"/>
      <selection pane="bottomLeft" activeCell="E39" sqref="E39"/>
      <selection pane="bottomRight" activeCell="B5" sqref="B5"/>
    </sheetView>
  </sheetViews>
  <sheetFormatPr defaultColWidth="9.1328125" defaultRowHeight="10.5"/>
  <cols>
    <col min="1" max="1" width="60.08984375" style="51" customWidth="1"/>
    <col min="2" max="2" width="1.76953125" style="34" customWidth="1"/>
    <col min="3" max="6" width="18.453125" style="34" customWidth="1"/>
    <col min="7" max="7" width="1.76953125" style="34" customWidth="1"/>
    <col min="8" max="8" width="21.1328125" style="51" customWidth="1"/>
    <col min="9" max="9" width="1.76953125" style="34" customWidth="1"/>
    <col min="10" max="12" width="18.453125" style="34" customWidth="1"/>
    <col min="13" max="13" width="18.5" style="34" customWidth="1"/>
    <col min="14" max="14" width="1.76953125" style="34" customWidth="1"/>
    <col min="15" max="15" width="21.1328125" style="51" customWidth="1"/>
    <col min="16" max="16" width="1.5" style="34" customWidth="1"/>
    <col min="17" max="18" width="18.76953125" style="34" customWidth="1"/>
    <col min="19" max="19" width="1.5" style="34" customWidth="1"/>
    <col min="20" max="20" width="20.08984375" style="34" customWidth="1"/>
    <col min="21" max="16384" width="9.1328125" style="34"/>
  </cols>
  <sheetData>
    <row r="1" spans="1:20" ht="18">
      <c r="A1" s="1" t="s">
        <v>41</v>
      </c>
    </row>
    <row r="2" spans="1:20" ht="10.75">
      <c r="A2" s="52"/>
    </row>
    <row r="3" spans="1:20" s="2" customFormat="1" ht="34.5" customHeight="1">
      <c r="A3" s="36"/>
      <c r="C3" s="110" t="s">
        <v>1</v>
      </c>
      <c r="D3" s="110"/>
      <c r="E3" s="110"/>
      <c r="F3" s="110"/>
      <c r="H3" s="37" t="s">
        <v>2</v>
      </c>
      <c r="J3" s="110" t="s">
        <v>1</v>
      </c>
      <c r="K3" s="110"/>
      <c r="L3" s="110"/>
      <c r="M3" s="110"/>
      <c r="O3" s="37" t="s">
        <v>2</v>
      </c>
      <c r="Q3" s="110" t="s">
        <v>1</v>
      </c>
      <c r="R3" s="110"/>
      <c r="T3" s="37" t="s">
        <v>108</v>
      </c>
    </row>
    <row r="4" spans="1:20" s="2" customFormat="1" ht="26.25" customHeight="1">
      <c r="A4" s="36" t="s">
        <v>4</v>
      </c>
      <c r="C4" s="38" t="s">
        <v>3</v>
      </c>
      <c r="D4" s="38" t="s">
        <v>14</v>
      </c>
      <c r="E4" s="38" t="s">
        <v>15</v>
      </c>
      <c r="F4" s="38" t="s">
        <v>16</v>
      </c>
      <c r="H4" s="38" t="s">
        <v>16</v>
      </c>
      <c r="J4" s="38" t="s">
        <v>42</v>
      </c>
      <c r="K4" s="38" t="s">
        <v>43</v>
      </c>
      <c r="L4" s="38" t="s">
        <v>44</v>
      </c>
      <c r="M4" s="38" t="s">
        <v>45</v>
      </c>
      <c r="O4" s="38" t="s">
        <v>45</v>
      </c>
      <c r="Q4" s="38" t="s">
        <v>97</v>
      </c>
      <c r="R4" s="38" t="s">
        <v>107</v>
      </c>
      <c r="T4" s="38" t="s">
        <v>107</v>
      </c>
    </row>
    <row r="5" spans="1:20" s="2" customFormat="1" ht="19.5" customHeight="1">
      <c r="A5" s="53"/>
      <c r="H5" s="54"/>
      <c r="O5" s="54"/>
    </row>
    <row r="6" spans="1:20" ht="16.75">
      <c r="A6" s="55" t="s">
        <v>46</v>
      </c>
    </row>
    <row r="7" spans="1:20" s="40" customFormat="1" ht="16.75">
      <c r="A7" s="56" t="s">
        <v>18</v>
      </c>
      <c r="B7" s="59"/>
      <c r="C7" s="57">
        <v>216.56600000000003</v>
      </c>
      <c r="D7" s="57">
        <v>210.16499999999999</v>
      </c>
      <c r="E7" s="57">
        <v>218.547</v>
      </c>
      <c r="F7" s="57">
        <v>265.10899999999998</v>
      </c>
      <c r="G7" s="59"/>
      <c r="H7" s="57">
        <f>SUM(C7:F7)</f>
        <v>910.38699999999994</v>
      </c>
      <c r="I7" s="59"/>
      <c r="J7" s="57">
        <v>221.27700000000002</v>
      </c>
      <c r="K7" s="57">
        <v>210.17000000000002</v>
      </c>
      <c r="L7" s="57">
        <v>224.19299999999998</v>
      </c>
      <c r="M7" s="57">
        <v>253.54599999999999</v>
      </c>
      <c r="N7" s="59"/>
      <c r="O7" s="57">
        <f>SUM(J7:M7)</f>
        <v>909.18599999999992</v>
      </c>
      <c r="Q7" s="57">
        <v>208.09700000000001</v>
      </c>
      <c r="R7" s="103">
        <v>208.00700000000001</v>
      </c>
      <c r="S7" s="61"/>
      <c r="T7" s="103">
        <f>SUM(Q7:R7)</f>
        <v>416.10400000000004</v>
      </c>
    </row>
    <row r="8" spans="1:20" s="40" customFormat="1" ht="16.75">
      <c r="C8" s="58"/>
      <c r="D8" s="58"/>
      <c r="E8" s="58"/>
      <c r="F8" s="58"/>
      <c r="H8" s="58"/>
      <c r="J8" s="58"/>
      <c r="K8" s="58"/>
      <c r="L8" s="58"/>
      <c r="M8" s="58"/>
      <c r="O8" s="58"/>
      <c r="Q8" s="58"/>
      <c r="R8" s="60"/>
      <c r="S8" s="61"/>
      <c r="T8" s="60"/>
    </row>
    <row r="9" spans="1:20" s="40" customFormat="1" ht="16.75">
      <c r="A9" s="40" t="s">
        <v>47</v>
      </c>
      <c r="B9" s="62"/>
      <c r="C9" s="60">
        <v>39.643000000000001</v>
      </c>
      <c r="D9" s="60">
        <v>39.567</v>
      </c>
      <c r="E9" s="60">
        <v>38.883000000000003</v>
      </c>
      <c r="F9" s="60">
        <v>44.774999999999999</v>
      </c>
      <c r="G9" s="62"/>
      <c r="H9" s="60">
        <f>SUM(C9:F9)</f>
        <v>162.86800000000002</v>
      </c>
      <c r="I9" s="62"/>
      <c r="J9" s="60">
        <v>35.923000000000002</v>
      </c>
      <c r="K9" s="60">
        <v>36.302999999999997</v>
      </c>
      <c r="L9" s="60">
        <v>38.741999999999997</v>
      </c>
      <c r="M9" s="60">
        <v>39.124000000000002</v>
      </c>
      <c r="N9" s="62"/>
      <c r="O9" s="60">
        <f>SUM(J9:M9)</f>
        <v>150.09199999999998</v>
      </c>
      <c r="Q9" s="60">
        <v>42.107999999999997</v>
      </c>
      <c r="R9" s="60">
        <v>39.076999999999998</v>
      </c>
      <c r="S9" s="61"/>
      <c r="T9" s="60">
        <f>SUM(Q9:R9)</f>
        <v>81.185000000000002</v>
      </c>
    </row>
    <row r="10" spans="1:20" s="40" customFormat="1" ht="16.75">
      <c r="A10" s="40" t="s">
        <v>48</v>
      </c>
      <c r="B10" s="62"/>
      <c r="C10" s="60">
        <f>7.391</f>
        <v>7.391</v>
      </c>
      <c r="D10" s="60">
        <f>8.634</f>
        <v>8.6340000000000003</v>
      </c>
      <c r="E10" s="60">
        <f>7.551</f>
        <v>7.5510000000000002</v>
      </c>
      <c r="F10" s="60">
        <f>8.566</f>
        <v>8.5660000000000007</v>
      </c>
      <c r="G10" s="62"/>
      <c r="H10" s="60">
        <f>SUM(C10:F10)</f>
        <v>32.142000000000003</v>
      </c>
      <c r="I10" s="62"/>
      <c r="J10" s="60">
        <f>8.774</f>
        <v>8.7739999999999991</v>
      </c>
      <c r="K10" s="60">
        <f>8.834</f>
        <v>8.8339999999999996</v>
      </c>
      <c r="L10" s="60">
        <f>8.482</f>
        <v>8.4819999999999993</v>
      </c>
      <c r="M10" s="60">
        <f>9.886</f>
        <v>9.8859999999999992</v>
      </c>
      <c r="N10" s="62"/>
      <c r="O10" s="60">
        <f>SUM(J10:M10)</f>
        <v>35.975999999999999</v>
      </c>
      <c r="Q10" s="60">
        <v>7.2480000000000002</v>
      </c>
      <c r="R10" s="60">
        <v>9.7119999999999997</v>
      </c>
      <c r="S10" s="61"/>
      <c r="T10" s="60">
        <f>SUM(Q10:R10)</f>
        <v>16.96</v>
      </c>
    </row>
    <row r="11" spans="1:20" s="40" customFormat="1" ht="16.75">
      <c r="A11" s="40" t="s">
        <v>49</v>
      </c>
      <c r="B11" s="62"/>
      <c r="C11" s="60">
        <f>26.795-C10</f>
        <v>19.404000000000003</v>
      </c>
      <c r="D11" s="60">
        <f>27.372-D10</f>
        <v>18.738</v>
      </c>
      <c r="E11" s="60">
        <f>25.046-E10</f>
        <v>17.494999999999997</v>
      </c>
      <c r="F11" s="60">
        <f>27.897-F10</f>
        <v>19.330999999999996</v>
      </c>
      <c r="G11" s="62"/>
      <c r="H11" s="60">
        <f>SUM(C11:F11)</f>
        <v>74.967999999999989</v>
      </c>
      <c r="I11" s="62"/>
      <c r="J11" s="60">
        <f>26.48-J10</f>
        <v>17.706000000000003</v>
      </c>
      <c r="K11" s="60">
        <f>26.8-K10</f>
        <v>17.966000000000001</v>
      </c>
      <c r="L11" s="60">
        <f>25.324-L10</f>
        <v>16.842000000000002</v>
      </c>
      <c r="M11" s="60">
        <f>15.79</f>
        <v>15.79</v>
      </c>
      <c r="N11" s="62"/>
      <c r="O11" s="60">
        <f>SUM(J11:M11)</f>
        <v>68.304000000000002</v>
      </c>
      <c r="Q11" s="60">
        <v>17.530999999999999</v>
      </c>
      <c r="R11" s="60">
        <v>16.298999999999999</v>
      </c>
      <c r="S11" s="61"/>
      <c r="T11" s="60">
        <f>SUM(Q11:R11)</f>
        <v>33.83</v>
      </c>
    </row>
    <row r="12" spans="1:20" s="40" customFormat="1" ht="16.75">
      <c r="A12" s="40" t="s">
        <v>27</v>
      </c>
      <c r="B12" s="62"/>
      <c r="C12" s="63">
        <v>1.9650000000000001</v>
      </c>
      <c r="D12" s="63">
        <v>1.9370000000000001</v>
      </c>
      <c r="E12" s="63">
        <v>1.609</v>
      </c>
      <c r="F12" s="63">
        <v>1.623</v>
      </c>
      <c r="G12" s="62"/>
      <c r="H12" s="63">
        <f>SUM(C12:F12)</f>
        <v>7.1340000000000003</v>
      </c>
      <c r="I12" s="62"/>
      <c r="J12" s="63">
        <v>1.3580000000000001</v>
      </c>
      <c r="K12" s="63">
        <v>1.641</v>
      </c>
      <c r="L12" s="63">
        <v>1.5</v>
      </c>
      <c r="M12" s="63">
        <v>2.2650000000000001</v>
      </c>
      <c r="N12" s="62"/>
      <c r="O12" s="63">
        <f>SUM(J12:M12)</f>
        <v>6.7640000000000011</v>
      </c>
      <c r="Q12" s="63">
        <v>2.3079999999999998</v>
      </c>
      <c r="R12" s="63">
        <v>2.3679999999999999</v>
      </c>
      <c r="S12" s="61"/>
      <c r="T12" s="63">
        <f>SUM(Q12:R12)</f>
        <v>4.6760000000000002</v>
      </c>
    </row>
    <row r="13" spans="1:20" s="40" customFormat="1" ht="16.75">
      <c r="A13" s="56" t="s">
        <v>24</v>
      </c>
      <c r="B13" s="65"/>
      <c r="C13" s="64">
        <f>SUM(C9:C12)</f>
        <v>68.403000000000006</v>
      </c>
      <c r="D13" s="64">
        <f>SUM(D9:D12)</f>
        <v>68.875999999999991</v>
      </c>
      <c r="E13" s="64">
        <f>SUM(E9:E12)</f>
        <v>65.537999999999997</v>
      </c>
      <c r="F13" s="64">
        <f>SUM(F9:F12)</f>
        <v>74.295000000000002</v>
      </c>
      <c r="G13" s="65"/>
      <c r="H13" s="64">
        <f>SUM(H9:H12)</f>
        <v>277.11200000000002</v>
      </c>
      <c r="I13" s="65"/>
      <c r="J13" s="64">
        <f>SUM(J9:J12)</f>
        <v>63.761000000000003</v>
      </c>
      <c r="K13" s="64">
        <f>SUM(K9:K12)</f>
        <v>64.744</v>
      </c>
      <c r="L13" s="64">
        <f>SUM(L9:L12)</f>
        <v>65.566000000000003</v>
      </c>
      <c r="M13" s="64">
        <f>SUM(M9:M12)</f>
        <v>67.065000000000012</v>
      </c>
      <c r="N13" s="65"/>
      <c r="O13" s="64">
        <f>SUM(O9:O12)</f>
        <v>261.13599999999997</v>
      </c>
      <c r="Q13" s="64">
        <f>SUM(Q9:Q12)</f>
        <v>69.194999999999993</v>
      </c>
      <c r="R13" s="104">
        <f>SUM(R9:R12)</f>
        <v>67.455999999999989</v>
      </c>
      <c r="S13" s="61"/>
      <c r="T13" s="104">
        <f>SUM(T9:T12)</f>
        <v>136.65100000000001</v>
      </c>
    </row>
    <row r="14" spans="1:20" s="40" customFormat="1" ht="16.75">
      <c r="C14" s="60"/>
      <c r="D14" s="60"/>
      <c r="E14" s="60"/>
      <c r="F14" s="60"/>
      <c r="H14" s="60"/>
      <c r="J14" s="60"/>
      <c r="K14" s="60"/>
      <c r="L14" s="60"/>
      <c r="M14" s="60"/>
      <c r="O14" s="60"/>
      <c r="Q14" s="60"/>
      <c r="R14" s="60"/>
      <c r="S14" s="61"/>
      <c r="T14" s="60"/>
    </row>
    <row r="15" spans="1:20" s="40" customFormat="1" ht="16.75">
      <c r="A15" s="56" t="s">
        <v>50</v>
      </c>
      <c r="B15" s="47"/>
      <c r="C15" s="57">
        <f>+C7-C13</f>
        <v>148.16300000000001</v>
      </c>
      <c r="D15" s="57">
        <f>+D7-D13</f>
        <v>141.28899999999999</v>
      </c>
      <c r="E15" s="57">
        <f>+E7-E13</f>
        <v>153.00900000000001</v>
      </c>
      <c r="F15" s="57">
        <f>+F7-F13</f>
        <v>190.81399999999996</v>
      </c>
      <c r="G15" s="47"/>
      <c r="H15" s="57">
        <f>+H7-H13</f>
        <v>633.27499999999986</v>
      </c>
      <c r="I15" s="47"/>
      <c r="J15" s="57">
        <f>+J7-J13</f>
        <v>157.51600000000002</v>
      </c>
      <c r="K15" s="57">
        <f>+K7-K13</f>
        <v>145.42600000000002</v>
      </c>
      <c r="L15" s="57">
        <f>+L7-L13</f>
        <v>158.62699999999998</v>
      </c>
      <c r="M15" s="57">
        <f>+M7-M13</f>
        <v>186.48099999999999</v>
      </c>
      <c r="N15" s="47"/>
      <c r="O15" s="57">
        <f>+O7-O13</f>
        <v>648.04999999999995</v>
      </c>
      <c r="Q15" s="57">
        <f>+Q7-Q13</f>
        <v>138.90200000000002</v>
      </c>
      <c r="R15" s="103">
        <f>+R7-R13</f>
        <v>140.55100000000002</v>
      </c>
      <c r="S15" s="61"/>
      <c r="T15" s="103">
        <f>+T7-T13</f>
        <v>279.45300000000003</v>
      </c>
    </row>
    <row r="16" spans="1:20" s="40" customFormat="1" ht="16.75">
      <c r="A16" s="56" t="s">
        <v>51</v>
      </c>
      <c r="C16" s="66">
        <f>C15/C7</f>
        <v>0.6841470960353887</v>
      </c>
      <c r="D16" s="66">
        <f>D15/D7</f>
        <v>0.67227654461970354</v>
      </c>
      <c r="E16" s="66">
        <f>E15/E7</f>
        <v>0.70011942511221847</v>
      </c>
      <c r="F16" s="66">
        <f>F15/F7</f>
        <v>0.71975677928701021</v>
      </c>
      <c r="H16" s="66">
        <f>H15/H7</f>
        <v>0.69561076772844943</v>
      </c>
      <c r="J16" s="66">
        <f>J15/J7</f>
        <v>0.71184985335122952</v>
      </c>
      <c r="K16" s="66">
        <f>K15/K7</f>
        <v>0.69194461626302517</v>
      </c>
      <c r="L16" s="66">
        <f>L15/L7</f>
        <v>0.70754662277591185</v>
      </c>
      <c r="M16" s="66">
        <f>M15/M7</f>
        <v>0.73549178452825126</v>
      </c>
      <c r="O16" s="66">
        <f>O15/O7</f>
        <v>0.71278044316564493</v>
      </c>
      <c r="Q16" s="66">
        <f>Q15/Q7</f>
        <v>0.66748679702254243</v>
      </c>
      <c r="R16" s="66">
        <f>R15/R7</f>
        <v>0.67570322152619866</v>
      </c>
      <c r="T16" s="66">
        <f>T15/T7</f>
        <v>0.6715941207005941</v>
      </c>
    </row>
    <row r="17" spans="1:20" s="40" customFormat="1" ht="16.75">
      <c r="A17" s="40" t="s">
        <v>52</v>
      </c>
      <c r="B17" s="61"/>
      <c r="C17" s="67">
        <v>0.627</v>
      </c>
      <c r="D17" s="67">
        <v>0.24199999999999999</v>
      </c>
      <c r="E17" s="67">
        <v>0.12</v>
      </c>
      <c r="F17" s="67">
        <v>0.111</v>
      </c>
      <c r="G17" s="61"/>
      <c r="H17" s="67">
        <f>SUM(C17:F17)</f>
        <v>1.1000000000000001</v>
      </c>
      <c r="I17" s="61"/>
      <c r="J17" s="67">
        <v>0</v>
      </c>
      <c r="K17" s="67">
        <v>0</v>
      </c>
      <c r="L17" s="67">
        <v>0</v>
      </c>
      <c r="M17" s="67">
        <v>0</v>
      </c>
      <c r="N17" s="61"/>
      <c r="O17" s="67">
        <f>SUM(J17:M17)</f>
        <v>0</v>
      </c>
      <c r="Q17" s="67">
        <v>0</v>
      </c>
      <c r="R17" s="67">
        <v>0</v>
      </c>
      <c r="S17" s="61"/>
      <c r="T17" s="67">
        <f t="shared" ref="T17:T20" si="0">SUM(Q17:R17)</f>
        <v>0</v>
      </c>
    </row>
    <row r="18" spans="1:20" s="40" customFormat="1" ht="16.75">
      <c r="A18" s="40" t="s">
        <v>27</v>
      </c>
      <c r="B18" s="61"/>
      <c r="C18" s="60">
        <v>1.9650000000000001</v>
      </c>
      <c r="D18" s="60">
        <v>1.9370000000000001</v>
      </c>
      <c r="E18" s="60">
        <v>1.609</v>
      </c>
      <c r="F18" s="60">
        <v>1.623</v>
      </c>
      <c r="G18" s="61"/>
      <c r="H18" s="60">
        <f>SUM(C18:F18)</f>
        <v>7.1340000000000003</v>
      </c>
      <c r="I18" s="61"/>
      <c r="J18" s="60">
        <v>1.3580000000000001</v>
      </c>
      <c r="K18" s="60">
        <v>1.641</v>
      </c>
      <c r="L18" s="60">
        <v>1.5</v>
      </c>
      <c r="M18" s="60">
        <v>2.2650000000000001</v>
      </c>
      <c r="N18" s="61"/>
      <c r="O18" s="60">
        <f>SUM(J18:M18)</f>
        <v>6.7640000000000011</v>
      </c>
      <c r="Q18" s="60">
        <v>2.3079999999999998</v>
      </c>
      <c r="R18" s="60">
        <v>2.3679999999999999</v>
      </c>
      <c r="S18" s="61"/>
      <c r="T18" s="60">
        <f t="shared" si="0"/>
        <v>4.6760000000000002</v>
      </c>
    </row>
    <row r="19" spans="1:20" s="40" customFormat="1" ht="16.75">
      <c r="A19" s="40" t="s">
        <v>28</v>
      </c>
      <c r="B19" s="61"/>
      <c r="C19" s="60">
        <v>0.436</v>
      </c>
      <c r="D19" s="60">
        <v>1.3759999999999999</v>
      </c>
      <c r="E19" s="60">
        <v>1.093</v>
      </c>
      <c r="F19" s="60">
        <v>1.226</v>
      </c>
      <c r="G19" s="61"/>
      <c r="H19" s="60">
        <f>SUM(C19:F19)</f>
        <v>4.1310000000000002</v>
      </c>
      <c r="I19" s="61"/>
      <c r="J19" s="60">
        <v>1.0820000000000001</v>
      </c>
      <c r="K19" s="60">
        <v>2.1739999999999999</v>
      </c>
      <c r="L19" s="60">
        <v>0.89900000000000002</v>
      </c>
      <c r="M19" s="60">
        <v>2.5209999999999999</v>
      </c>
      <c r="N19" s="61"/>
      <c r="O19" s="60">
        <f>SUM(J19:M19)</f>
        <v>6.6760000000000002</v>
      </c>
      <c r="Q19" s="60">
        <v>0.32100000000000001</v>
      </c>
      <c r="R19" s="60">
        <v>1.405</v>
      </c>
      <c r="S19" s="61"/>
      <c r="T19" s="60">
        <f t="shared" si="0"/>
        <v>1.726</v>
      </c>
    </row>
    <row r="20" spans="1:20" s="40" customFormat="1" ht="16.75">
      <c r="A20" s="40" t="s">
        <v>29</v>
      </c>
      <c r="B20" s="61"/>
      <c r="C20" s="67">
        <v>5.6000000000000001E-2</v>
      </c>
      <c r="D20" s="67">
        <v>0.26600000000000001</v>
      </c>
      <c r="E20" s="67">
        <v>3.1E-2</v>
      </c>
      <c r="F20" s="67">
        <v>-0.23599999999999999</v>
      </c>
      <c r="G20" s="61"/>
      <c r="H20" s="67">
        <f>SUM(C20:F20)</f>
        <v>0.11699999999999999</v>
      </c>
      <c r="I20" s="61"/>
      <c r="J20" s="67">
        <v>0</v>
      </c>
      <c r="K20" s="67">
        <v>0</v>
      </c>
      <c r="L20" s="67">
        <v>3.7999999999999999E-2</v>
      </c>
      <c r="M20" s="67">
        <v>0.27600000000000002</v>
      </c>
      <c r="N20" s="61"/>
      <c r="O20" s="67">
        <f>SUM(J20:M20)</f>
        <v>0.314</v>
      </c>
      <c r="Q20" s="67">
        <v>0.22700000000000001</v>
      </c>
      <c r="R20" s="67">
        <v>7.8E-2</v>
      </c>
      <c r="S20" s="61"/>
      <c r="T20" s="67">
        <f t="shared" si="0"/>
        <v>0.30499999999999999</v>
      </c>
    </row>
    <row r="21" spans="1:20" s="40" customFormat="1" ht="16.75">
      <c r="A21" s="40" t="s">
        <v>53</v>
      </c>
      <c r="B21" s="61"/>
      <c r="C21" s="63">
        <v>0.25800000000000001</v>
      </c>
      <c r="D21" s="63">
        <v>1.1910000000000001</v>
      </c>
      <c r="E21" s="63">
        <v>-2E-3</v>
      </c>
      <c r="F21" s="63">
        <v>4.665</v>
      </c>
      <c r="G21" s="62"/>
      <c r="H21" s="63">
        <f>SUM(C21:F21)</f>
        <v>6.1120000000000001</v>
      </c>
      <c r="I21" s="62"/>
      <c r="J21" s="63">
        <v>0.182</v>
      </c>
      <c r="K21" s="63">
        <v>0.41699999999999998</v>
      </c>
      <c r="L21" s="63">
        <v>0.247</v>
      </c>
      <c r="M21" s="63">
        <v>1.2989999999999999</v>
      </c>
      <c r="N21" s="62"/>
      <c r="O21" s="63">
        <f>SUM(J21:M21)</f>
        <v>2.145</v>
      </c>
      <c r="Q21" s="63">
        <v>3.6269999999999998</v>
      </c>
      <c r="R21" s="63">
        <v>0.46100000000000002</v>
      </c>
      <c r="S21" s="61"/>
      <c r="T21" s="63">
        <f>SUM(Q21:R21)</f>
        <v>4.0880000000000001</v>
      </c>
    </row>
    <row r="22" spans="1:20" s="40" customFormat="1" ht="16.75">
      <c r="A22" s="56" t="s">
        <v>54</v>
      </c>
      <c r="B22" s="47"/>
      <c r="C22" s="42">
        <f>SUM(C17:C21)+C15</f>
        <v>151.50500000000002</v>
      </c>
      <c r="D22" s="42">
        <f>SUM(D17:D21)+D15</f>
        <v>146.30099999999999</v>
      </c>
      <c r="E22" s="42">
        <f>SUM(E17:E21)+E15</f>
        <v>155.86000000000001</v>
      </c>
      <c r="F22" s="42">
        <f>SUM(F17:F21)+F15</f>
        <v>198.20299999999997</v>
      </c>
      <c r="G22" s="47"/>
      <c r="H22" s="42">
        <f>SUM(H17:H21)+H15</f>
        <v>651.86899999999991</v>
      </c>
      <c r="I22" s="47"/>
      <c r="J22" s="42">
        <f>SUM(J17:J21)+J15</f>
        <v>160.13800000000003</v>
      </c>
      <c r="K22" s="42">
        <f>SUM(K17:K21)+K15</f>
        <v>149.65800000000002</v>
      </c>
      <c r="L22" s="42">
        <f>SUM(L17:L21)+L15</f>
        <v>161.31099999999998</v>
      </c>
      <c r="M22" s="42">
        <f>SUM(M17:M21)+M15</f>
        <v>192.84199999999998</v>
      </c>
      <c r="N22" s="47"/>
      <c r="O22" s="42">
        <f>SUM(O17:O21)+O15</f>
        <v>663.94899999999996</v>
      </c>
      <c r="Q22" s="42">
        <f>SUM(Q17:Q21)+Q15</f>
        <v>145.38500000000002</v>
      </c>
      <c r="R22" s="104">
        <f>SUM(R17:R21)+R15</f>
        <v>144.86300000000003</v>
      </c>
      <c r="S22" s="61"/>
      <c r="T22" s="104">
        <f>SUM(T17:T21)+T15</f>
        <v>290.24800000000005</v>
      </c>
    </row>
    <row r="23" spans="1:20" s="40" customFormat="1" ht="16.75">
      <c r="A23" s="56" t="s">
        <v>55</v>
      </c>
      <c r="C23" s="66">
        <v>0.69799999999999995</v>
      </c>
      <c r="D23" s="66">
        <v>0.69499999999999995</v>
      </c>
      <c r="E23" s="66">
        <v>0.71299999999999997</v>
      </c>
      <c r="F23" s="66">
        <v>0.747</v>
      </c>
      <c r="H23" s="66">
        <v>0.71499999999999997</v>
      </c>
      <c r="J23" s="66">
        <v>0.72399999999999998</v>
      </c>
      <c r="K23" s="66">
        <v>0.71199999999999997</v>
      </c>
      <c r="L23" s="66">
        <v>0.72</v>
      </c>
      <c r="M23" s="66">
        <v>0.76100000000000001</v>
      </c>
      <c r="O23" s="66">
        <v>0.73</v>
      </c>
      <c r="Q23" s="66">
        <v>0.69899999999999995</v>
      </c>
      <c r="R23" s="66">
        <v>0.69599999999999995</v>
      </c>
      <c r="T23" s="66">
        <v>0.69799999999999995</v>
      </c>
    </row>
    <row r="24" spans="1:20">
      <c r="C24" s="51"/>
      <c r="D24" s="51"/>
      <c r="E24" s="51"/>
      <c r="F24" s="51"/>
      <c r="J24" s="51"/>
      <c r="K24" s="51"/>
      <c r="L24" s="51"/>
      <c r="M24" s="51"/>
      <c r="Q24" s="51"/>
      <c r="R24" s="51"/>
      <c r="T24" s="51"/>
    </row>
    <row r="25" spans="1:20">
      <c r="C25" s="51"/>
      <c r="D25" s="51"/>
      <c r="E25" s="51"/>
      <c r="F25" s="51"/>
      <c r="J25" s="51"/>
      <c r="K25" s="51"/>
      <c r="L25" s="51"/>
      <c r="M25" s="51"/>
      <c r="Q25" s="51"/>
      <c r="R25" s="51"/>
      <c r="T25" s="51"/>
    </row>
    <row r="28" spans="1:20" ht="19">
      <c r="A28" s="74"/>
    </row>
  </sheetData>
  <mergeCells count="3">
    <mergeCell ref="C3:F3"/>
    <mergeCell ref="J3:M3"/>
    <mergeCell ref="Q3:R3"/>
  </mergeCells>
  <pageMargins left="0.25" right="0.25" top="0.75" bottom="0.75" header="0.3" footer="0.3"/>
  <pageSetup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1FD88-44DE-4900-A612-76A98E90D0EF}">
  <sheetPr>
    <tabColor theme="0" tint="-4.9989318521683403E-2"/>
    <pageSetUpPr fitToPage="1"/>
  </sheetPr>
  <dimension ref="A1:T194"/>
  <sheetViews>
    <sheetView zoomScale="65" zoomScaleNormal="65" zoomScaleSheetLayoutView="85" workbookViewId="0">
      <pane xSplit="1" ySplit="4" topLeftCell="B5" activePane="bottomRight" state="frozen"/>
      <selection pane="topRight"/>
      <selection pane="bottomLeft"/>
      <selection pane="bottomRight" activeCell="B5" sqref="B5"/>
    </sheetView>
  </sheetViews>
  <sheetFormatPr defaultColWidth="9.1328125" defaultRowHeight="10.5"/>
  <cols>
    <col min="1" max="1" width="66.453125" style="81" customWidth="1"/>
    <col min="2" max="2" width="1.76953125" style="34" customWidth="1"/>
    <col min="3" max="5" width="19.76953125" style="81" customWidth="1"/>
    <col min="6" max="6" width="15.953125" style="81" customWidth="1"/>
    <col min="7" max="7" width="1.6328125" style="34" customWidth="1"/>
    <col min="8" max="8" width="20.453125" style="81" customWidth="1"/>
    <col min="9" max="9" width="1.76953125" style="34" customWidth="1"/>
    <col min="10" max="13" width="19.76953125" style="81" customWidth="1"/>
    <col min="14" max="14" width="1.08984375" style="34" customWidth="1"/>
    <col min="15" max="15" width="20.453125" style="81" customWidth="1"/>
    <col min="16" max="16" width="2.36328125" style="81" customWidth="1"/>
    <col min="17" max="18" width="18.31640625" style="81" customWidth="1"/>
    <col min="19" max="19" width="1.31640625" style="81" customWidth="1"/>
    <col min="20" max="20" width="18.31640625" style="81" customWidth="1"/>
    <col min="21" max="16384" width="9.1328125" style="81"/>
  </cols>
  <sheetData>
    <row r="1" spans="1:20" s="34" customFormat="1" ht="18">
      <c r="A1" s="1" t="s">
        <v>32</v>
      </c>
    </row>
    <row r="2" spans="1:20" s="34" customFormat="1">
      <c r="A2" s="35"/>
      <c r="H2" s="35"/>
      <c r="O2" s="35"/>
    </row>
    <row r="3" spans="1:20" s="2" customFormat="1" ht="34.75" customHeight="1">
      <c r="A3" s="36"/>
      <c r="C3" s="110" t="s">
        <v>1</v>
      </c>
      <c r="D3" s="110"/>
      <c r="E3" s="110"/>
      <c r="F3" s="110"/>
      <c r="H3" s="37" t="s">
        <v>2</v>
      </c>
      <c r="J3" s="110" t="s">
        <v>1</v>
      </c>
      <c r="K3" s="110"/>
      <c r="L3" s="110"/>
      <c r="M3" s="110"/>
      <c r="O3" s="37" t="s">
        <v>2</v>
      </c>
      <c r="Q3" s="110" t="s">
        <v>1</v>
      </c>
      <c r="R3" s="110"/>
      <c r="T3" s="37" t="s">
        <v>108</v>
      </c>
    </row>
    <row r="4" spans="1:20" s="2" customFormat="1" ht="28.5" customHeight="1">
      <c r="A4" s="36" t="s">
        <v>4</v>
      </c>
      <c r="C4" s="38" t="s">
        <v>3</v>
      </c>
      <c r="D4" s="38" t="s">
        <v>14</v>
      </c>
      <c r="E4" s="38" t="s">
        <v>15</v>
      </c>
      <c r="F4" s="38" t="s">
        <v>16</v>
      </c>
      <c r="H4" s="38" t="s">
        <v>16</v>
      </c>
      <c r="J4" s="38" t="s">
        <v>42</v>
      </c>
      <c r="K4" s="38" t="s">
        <v>43</v>
      </c>
      <c r="L4" s="38" t="s">
        <v>44</v>
      </c>
      <c r="M4" s="38" t="s">
        <v>45</v>
      </c>
      <c r="O4" s="38" t="s">
        <v>45</v>
      </c>
      <c r="Q4" s="38" t="s">
        <v>97</v>
      </c>
      <c r="R4" s="38" t="s">
        <v>107</v>
      </c>
      <c r="T4" s="38" t="s">
        <v>107</v>
      </c>
    </row>
    <row r="5" spans="1:20" s="40" customFormat="1" ht="16.75">
      <c r="A5" s="55"/>
      <c r="B5" s="2"/>
      <c r="G5" s="2"/>
      <c r="I5" s="2"/>
      <c r="N5" s="2"/>
    </row>
    <row r="6" spans="1:20" s="40" customFormat="1" ht="16.75">
      <c r="A6" s="55" t="s">
        <v>56</v>
      </c>
      <c r="B6" s="34"/>
      <c r="G6" s="34"/>
      <c r="I6" s="34"/>
      <c r="N6" s="34"/>
    </row>
    <row r="7" spans="1:20" s="40" customFormat="1" ht="16.75">
      <c r="A7" s="72" t="s">
        <v>57</v>
      </c>
      <c r="B7" s="59"/>
      <c r="C7" s="42">
        <v>31.782</v>
      </c>
      <c r="D7" s="42">
        <v>34.057000000000002</v>
      </c>
      <c r="E7" s="42">
        <v>32.084000000000003</v>
      </c>
      <c r="F7" s="42">
        <v>35.881</v>
      </c>
      <c r="G7" s="59"/>
      <c r="H7" s="42">
        <f>SUM(C7:F7)</f>
        <v>133.804</v>
      </c>
      <c r="I7" s="59"/>
      <c r="J7" s="42">
        <v>36.729999999999997</v>
      </c>
      <c r="K7" s="42">
        <v>35.357999999999997</v>
      </c>
      <c r="L7" s="42">
        <v>37.735999999999997</v>
      </c>
      <c r="M7" s="42">
        <v>39.481000000000002</v>
      </c>
      <c r="N7" s="59"/>
      <c r="O7" s="42">
        <f>SUM(J7:M7)</f>
        <v>149.30499999999998</v>
      </c>
      <c r="Q7" s="42">
        <v>40.640999999999998</v>
      </c>
      <c r="R7" s="101">
        <v>39.098999999999997</v>
      </c>
      <c r="S7" s="102"/>
      <c r="T7" s="101">
        <f>SUM(Q7:R7)</f>
        <v>79.739999999999995</v>
      </c>
    </row>
    <row r="8" spans="1:20" s="40" customFormat="1" ht="16.75">
      <c r="A8" s="72" t="s">
        <v>58</v>
      </c>
      <c r="C8" s="75">
        <v>0.14699999999999999</v>
      </c>
      <c r="D8" s="75">
        <v>0.16200000000000001</v>
      </c>
      <c r="E8" s="75">
        <v>0.14699999999999999</v>
      </c>
      <c r="F8" s="75">
        <v>0.13500000000000001</v>
      </c>
      <c r="H8" s="75">
        <v>0.14699999999999999</v>
      </c>
      <c r="J8" s="75">
        <v>0.16600000000000001</v>
      </c>
      <c r="K8" s="75">
        <v>0.16800000000000001</v>
      </c>
      <c r="L8" s="75">
        <v>0.16800000000000001</v>
      </c>
      <c r="M8" s="75">
        <v>0.156</v>
      </c>
      <c r="O8" s="75">
        <v>0.16400000000000001</v>
      </c>
      <c r="Q8" s="75">
        <v>0.19500000000000001</v>
      </c>
      <c r="R8" s="75">
        <v>0.188</v>
      </c>
      <c r="T8" s="75">
        <v>0.192</v>
      </c>
    </row>
    <row r="9" spans="1:20" s="40" customFormat="1" ht="16.75">
      <c r="B9" s="62"/>
      <c r="G9" s="62"/>
      <c r="I9" s="62"/>
      <c r="N9" s="62"/>
    </row>
    <row r="10" spans="1:20" s="40" customFormat="1" ht="16.75">
      <c r="A10" s="68" t="s">
        <v>28</v>
      </c>
      <c r="B10" s="62"/>
      <c r="C10" s="76">
        <v>-2.327</v>
      </c>
      <c r="D10" s="76">
        <v>-3.4660000000000002</v>
      </c>
      <c r="E10" s="76">
        <v>-3.0249999999999999</v>
      </c>
      <c r="F10" s="76">
        <v>-3.1</v>
      </c>
      <c r="G10" s="62"/>
      <c r="H10" s="76">
        <f>SUM(C10:F10)</f>
        <v>-11.917999999999999</v>
      </c>
      <c r="I10" s="62"/>
      <c r="J10" s="76">
        <v>-3.5430000000000001</v>
      </c>
      <c r="K10" s="76">
        <v>-4.4640000000000004</v>
      </c>
      <c r="L10" s="76">
        <v>-3.097</v>
      </c>
      <c r="M10" s="76">
        <v>-3.72</v>
      </c>
      <c r="N10" s="62"/>
      <c r="O10" s="76">
        <f>SUM(J10:M10)</f>
        <v>-14.824000000000002</v>
      </c>
      <c r="Q10" s="76">
        <v>-3.093</v>
      </c>
      <c r="R10" s="76">
        <v>-2.9380000000000002</v>
      </c>
      <c r="S10" s="65"/>
      <c r="T10" s="76">
        <f>SUM(Q10:R10)</f>
        <v>-6.0310000000000006</v>
      </c>
    </row>
    <row r="11" spans="1:20" s="40" customFormat="1" ht="16.75">
      <c r="A11" s="77" t="s">
        <v>29</v>
      </c>
      <c r="B11" s="62"/>
      <c r="C11" s="76">
        <v>-5.6000000000000001E-2</v>
      </c>
      <c r="D11" s="76">
        <v>-0.02</v>
      </c>
      <c r="E11" s="76">
        <v>-0.02</v>
      </c>
      <c r="F11" s="76">
        <v>-0.02</v>
      </c>
      <c r="G11" s="62"/>
      <c r="H11" s="76">
        <f>SUM(C11:F11)</f>
        <v>-0.11600000000000001</v>
      </c>
      <c r="I11" s="62"/>
      <c r="J11" s="76">
        <v>0</v>
      </c>
      <c r="K11" s="76">
        <v>-3.5000000000000003E-2</v>
      </c>
      <c r="L11" s="76">
        <v>-0.16600000000000001</v>
      </c>
      <c r="M11" s="76">
        <v>-2.552</v>
      </c>
      <c r="N11" s="62"/>
      <c r="O11" s="76">
        <f>SUM(J11:M11)</f>
        <v>-2.7530000000000001</v>
      </c>
      <c r="Q11" s="76">
        <v>1.2190000000000001</v>
      </c>
      <c r="R11" s="76">
        <v>-0.32500000000000001</v>
      </c>
      <c r="S11" s="65"/>
      <c r="T11" s="76">
        <f>SUM(Q11:R11)</f>
        <v>0.89400000000000013</v>
      </c>
    </row>
    <row r="12" spans="1:20" s="40" customFormat="1" ht="16.75">
      <c r="A12" s="68" t="s">
        <v>53</v>
      </c>
      <c r="B12" s="62"/>
      <c r="C12" s="73">
        <v>-0.13800000000000001</v>
      </c>
      <c r="D12" s="73">
        <v>-0.17699999999999999</v>
      </c>
      <c r="E12" s="73">
        <v>-1E-3</v>
      </c>
      <c r="F12" s="73">
        <v>-2E-3</v>
      </c>
      <c r="G12" s="62"/>
      <c r="H12" s="73">
        <f>SUM(C12:F12)</f>
        <v>-0.318</v>
      </c>
      <c r="I12" s="62"/>
      <c r="J12" s="73">
        <v>-1.464</v>
      </c>
      <c r="K12" s="73">
        <v>-0.152</v>
      </c>
      <c r="L12" s="73">
        <v>-0.377</v>
      </c>
      <c r="M12" s="73">
        <v>-1.0720000000000001</v>
      </c>
      <c r="N12" s="62"/>
      <c r="O12" s="73">
        <f>SUM(J12:M12)</f>
        <v>-3.0649999999999999</v>
      </c>
      <c r="Q12" s="73">
        <v>-2.4169999999999998</v>
      </c>
      <c r="R12" s="73">
        <v>5.8999999999999997E-2</v>
      </c>
      <c r="S12" s="65"/>
      <c r="T12" s="73">
        <f>SUM(Q12:R12)</f>
        <v>-2.3579999999999997</v>
      </c>
    </row>
    <row r="13" spans="1:20" s="40" customFormat="1" ht="16.75">
      <c r="A13" s="40" t="s">
        <v>38</v>
      </c>
      <c r="B13" s="65"/>
      <c r="C13" s="73">
        <v>0</v>
      </c>
      <c r="D13" s="73">
        <v>-1.6479999999999999</v>
      </c>
      <c r="E13" s="73">
        <v>0</v>
      </c>
      <c r="F13" s="73">
        <v>-2.8000000000000001E-2</v>
      </c>
      <c r="G13" s="65"/>
      <c r="H13" s="73">
        <f>SUM(C13:F13)</f>
        <v>-1.6759999999999999</v>
      </c>
      <c r="I13" s="65"/>
      <c r="J13" s="73">
        <v>0</v>
      </c>
      <c r="K13" s="73">
        <v>0</v>
      </c>
      <c r="L13" s="73">
        <v>0</v>
      </c>
      <c r="M13" s="73">
        <v>0</v>
      </c>
      <c r="N13" s="65"/>
      <c r="O13" s="73">
        <f>SUM(J13:M13)</f>
        <v>0</v>
      </c>
      <c r="Q13" s="73">
        <v>0</v>
      </c>
      <c r="R13" s="73">
        <v>0</v>
      </c>
      <c r="S13" s="65"/>
      <c r="T13" s="73">
        <f>SUM(Q13:R13)</f>
        <v>0</v>
      </c>
    </row>
    <row r="14" spans="1:20" s="40" customFormat="1" ht="16.75">
      <c r="A14" s="68" t="s">
        <v>99</v>
      </c>
      <c r="C14" s="70">
        <v>-5.0000000000000001E-3</v>
      </c>
      <c r="D14" s="70">
        <v>5.0000000000000001E-3</v>
      </c>
      <c r="E14" s="70">
        <v>0</v>
      </c>
      <c r="F14" s="70">
        <v>0</v>
      </c>
      <c r="H14" s="70">
        <f>SUM(C14:F14)</f>
        <v>0</v>
      </c>
      <c r="J14" s="70">
        <v>0</v>
      </c>
      <c r="K14" s="70">
        <v>0</v>
      </c>
      <c r="L14" s="70">
        <v>0</v>
      </c>
      <c r="M14" s="70">
        <v>0</v>
      </c>
      <c r="O14" s="70">
        <f>SUM(J14:M14)</f>
        <v>0</v>
      </c>
      <c r="Q14" s="70">
        <v>0</v>
      </c>
      <c r="R14" s="70">
        <v>0</v>
      </c>
      <c r="S14" s="65"/>
      <c r="T14" s="70">
        <f>SUM(Q14:R14)</f>
        <v>0</v>
      </c>
    </row>
    <row r="15" spans="1:20" s="40" customFormat="1" ht="16.75">
      <c r="A15" s="45" t="s">
        <v>59</v>
      </c>
      <c r="B15" s="47"/>
      <c r="C15" s="78">
        <f>SUM(C10:C14)+C7</f>
        <v>29.256</v>
      </c>
      <c r="D15" s="78">
        <f>SUM(D10:D14)+D7</f>
        <v>28.751000000000001</v>
      </c>
      <c r="E15" s="78">
        <f>SUM(E10:E14)+E7</f>
        <v>29.038000000000004</v>
      </c>
      <c r="F15" s="78">
        <f>SUM(F10:F14)+F7</f>
        <v>32.731000000000002</v>
      </c>
      <c r="G15" s="47"/>
      <c r="H15" s="78">
        <f>SUM(H10:H14)+H7</f>
        <v>119.77600000000001</v>
      </c>
      <c r="I15" s="47"/>
      <c r="J15" s="78">
        <f>SUM(J10:J14)+J7</f>
        <v>31.722999999999999</v>
      </c>
      <c r="K15" s="78">
        <f>SUM(K10:K14)+K7</f>
        <v>30.706999999999997</v>
      </c>
      <c r="L15" s="78">
        <f>SUM(L10:L14)+L7</f>
        <v>34.095999999999997</v>
      </c>
      <c r="M15" s="78">
        <f>SUM(M10:M14)+M7</f>
        <v>32.137</v>
      </c>
      <c r="N15" s="47"/>
      <c r="O15" s="78">
        <f>SUM(O10:O14)+O7</f>
        <v>128.66299999999998</v>
      </c>
      <c r="Q15" s="78">
        <f>SUM(Q10:Q14)+Q7</f>
        <v>36.35</v>
      </c>
      <c r="R15" s="105">
        <f>SUM(R10:R14)+R7</f>
        <v>35.894999999999996</v>
      </c>
      <c r="S15" s="65"/>
      <c r="T15" s="105">
        <f>SUM(T10:T14)+T7</f>
        <v>72.24499999999999</v>
      </c>
    </row>
    <row r="16" spans="1:20" s="40" customFormat="1" ht="16.75">
      <c r="A16" s="72" t="s">
        <v>60</v>
      </c>
      <c r="C16" s="75">
        <v>0.13500000000000001</v>
      </c>
      <c r="D16" s="75">
        <v>0.13700000000000001</v>
      </c>
      <c r="E16" s="75">
        <v>0.13300000000000001</v>
      </c>
      <c r="F16" s="75">
        <v>0.123</v>
      </c>
      <c r="H16" s="75">
        <v>0.13100000000000001</v>
      </c>
      <c r="J16" s="75">
        <v>0.14299999999999999</v>
      </c>
      <c r="K16" s="75">
        <v>0.14599999999999999</v>
      </c>
      <c r="L16" s="75">
        <v>0.152</v>
      </c>
      <c r="M16" s="75">
        <v>0.127</v>
      </c>
      <c r="O16" s="75">
        <v>0.14199999999999999</v>
      </c>
      <c r="Q16" s="75">
        <v>0.17499999999999999</v>
      </c>
      <c r="R16" s="75">
        <v>0.17299999999999999</v>
      </c>
      <c r="T16" s="75">
        <v>0.17399999999999999</v>
      </c>
    </row>
    <row r="17" spans="1:20" s="40" customFormat="1" ht="16.75">
      <c r="A17" s="45"/>
      <c r="B17" s="61"/>
      <c r="C17" s="42"/>
      <c r="D17" s="42"/>
      <c r="E17" s="42"/>
      <c r="F17" s="42"/>
      <c r="G17" s="61"/>
      <c r="H17" s="79"/>
      <c r="I17" s="61"/>
      <c r="J17" s="42"/>
      <c r="K17" s="42"/>
      <c r="L17" s="42"/>
      <c r="M17" s="42"/>
      <c r="N17" s="61"/>
      <c r="O17" s="79"/>
      <c r="Q17" s="42"/>
      <c r="R17" s="42"/>
      <c r="T17" s="42"/>
    </row>
    <row r="18" spans="1:20" s="40" customFormat="1" ht="16.75">
      <c r="B18" s="61"/>
      <c r="G18" s="61"/>
      <c r="I18" s="61"/>
      <c r="N18" s="61"/>
    </row>
    <row r="19" spans="1:20" s="40" customFormat="1" ht="16.75">
      <c r="A19" s="55" t="s">
        <v>61</v>
      </c>
      <c r="B19" s="61"/>
      <c r="G19" s="61"/>
      <c r="I19" s="61"/>
      <c r="N19" s="61"/>
    </row>
    <row r="20" spans="1:20" s="40" customFormat="1" ht="16.75">
      <c r="A20" s="45" t="s">
        <v>62</v>
      </c>
      <c r="B20" s="61"/>
      <c r="C20" s="42">
        <v>101.279</v>
      </c>
      <c r="D20" s="42">
        <v>108.374</v>
      </c>
      <c r="E20" s="42">
        <v>87.879000000000005</v>
      </c>
      <c r="F20" s="42">
        <v>108.383</v>
      </c>
      <c r="G20" s="61"/>
      <c r="H20" s="42">
        <f>SUM(C20:F20)</f>
        <v>405.91499999999996</v>
      </c>
      <c r="I20" s="61"/>
      <c r="J20" s="42">
        <v>93.275999999999996</v>
      </c>
      <c r="K20" s="42">
        <v>93.177999999999997</v>
      </c>
      <c r="L20" s="42">
        <v>95.986999999999995</v>
      </c>
      <c r="M20" s="42">
        <v>97.143000000000001</v>
      </c>
      <c r="N20" s="61"/>
      <c r="O20" s="42">
        <f>SUM(J20:M20)</f>
        <v>379.58400000000006</v>
      </c>
      <c r="Q20" s="42">
        <v>89.67</v>
      </c>
      <c r="R20" s="64">
        <v>94.54</v>
      </c>
      <c r="S20" s="65"/>
      <c r="T20" s="64">
        <f>SUM(Q20:R20)</f>
        <v>184.21</v>
      </c>
    </row>
    <row r="21" spans="1:20" s="40" customFormat="1" ht="16.75">
      <c r="A21" s="72" t="s">
        <v>58</v>
      </c>
      <c r="B21" s="61"/>
      <c r="C21" s="75">
        <v>0.46800000000000003</v>
      </c>
      <c r="D21" s="75">
        <v>0.51600000000000001</v>
      </c>
      <c r="E21" s="75">
        <v>0.40200000000000002</v>
      </c>
      <c r="F21" s="75">
        <v>0.40899999999999997</v>
      </c>
      <c r="G21" s="61"/>
      <c r="H21" s="75">
        <v>0.44600000000000001</v>
      </c>
      <c r="I21" s="61"/>
      <c r="J21" s="75">
        <v>0.42199999999999999</v>
      </c>
      <c r="K21" s="75">
        <v>0.443</v>
      </c>
      <c r="L21" s="75">
        <v>0.42799999999999999</v>
      </c>
      <c r="M21" s="75">
        <v>0.38300000000000001</v>
      </c>
      <c r="N21" s="61"/>
      <c r="O21" s="75">
        <v>0.41699999999999998</v>
      </c>
      <c r="Q21" s="75">
        <v>0.43099999999999999</v>
      </c>
      <c r="R21" s="75">
        <v>0.45500000000000002</v>
      </c>
      <c r="T21" s="75">
        <v>0.443</v>
      </c>
    </row>
    <row r="22" spans="1:20" s="40" customFormat="1" ht="16.75">
      <c r="B22" s="47"/>
      <c r="C22" s="80"/>
      <c r="D22" s="80"/>
      <c r="E22" s="80"/>
      <c r="F22" s="80"/>
      <c r="G22" s="47"/>
      <c r="H22" s="80"/>
      <c r="I22" s="47"/>
      <c r="J22" s="80"/>
      <c r="K22" s="80"/>
      <c r="L22" s="80"/>
      <c r="M22" s="80"/>
      <c r="N22" s="47"/>
      <c r="O22" s="80"/>
      <c r="Q22" s="80"/>
      <c r="R22" s="80"/>
      <c r="T22" s="80"/>
    </row>
    <row r="23" spans="1:20" s="40" customFormat="1" ht="16.75">
      <c r="A23" s="68" t="s">
        <v>28</v>
      </c>
      <c r="C23" s="76">
        <v>-12.215999999999999</v>
      </c>
      <c r="D23" s="76">
        <v>-14.279</v>
      </c>
      <c r="E23" s="76">
        <v>-12.068</v>
      </c>
      <c r="F23" s="76">
        <v>-12.987</v>
      </c>
      <c r="H23" s="76">
        <f t="shared" ref="H23:H29" si="0">SUM(C23:F23)</f>
        <v>-51.55</v>
      </c>
      <c r="J23" s="76">
        <v>-13.396000000000001</v>
      </c>
      <c r="K23" s="76">
        <v>-17.108000000000001</v>
      </c>
      <c r="L23" s="76">
        <v>-14.084</v>
      </c>
      <c r="M23" s="76">
        <v>-12.541</v>
      </c>
      <c r="O23" s="76">
        <f t="shared" ref="O23:O29" si="1">SUM(J23:M23)</f>
        <v>-57.129000000000005</v>
      </c>
      <c r="Q23" s="76">
        <v>-12.053000000000001</v>
      </c>
      <c r="R23" s="76">
        <v>-12.507</v>
      </c>
      <c r="S23" s="65"/>
      <c r="T23" s="76">
        <f t="shared" ref="T23:T29" si="2">SUM(Q23:R23)</f>
        <v>-24.560000000000002</v>
      </c>
    </row>
    <row r="24" spans="1:20" s="40" customFormat="1" ht="16.75">
      <c r="A24" s="77" t="s">
        <v>66</v>
      </c>
      <c r="B24" s="34"/>
      <c r="C24" s="76">
        <v>-7.7030000000000003</v>
      </c>
      <c r="D24" s="76">
        <v>1.825</v>
      </c>
      <c r="E24" s="76">
        <v>0.20699999999999999</v>
      </c>
      <c r="F24" s="76">
        <v>-10.071999999999999</v>
      </c>
      <c r="G24" s="34"/>
      <c r="H24" s="76">
        <f t="shared" si="0"/>
        <v>-15.742999999999999</v>
      </c>
      <c r="I24" s="34"/>
      <c r="J24" s="76">
        <v>-0.20499999999999999</v>
      </c>
      <c r="K24" s="76">
        <v>-0.84499999999999997</v>
      </c>
      <c r="L24" s="76">
        <v>-1.0469999999999999</v>
      </c>
      <c r="M24" s="76">
        <v>-5.798</v>
      </c>
      <c r="N24" s="34"/>
      <c r="O24" s="76">
        <f t="shared" si="1"/>
        <v>-7.8949999999999996</v>
      </c>
      <c r="Q24" s="76">
        <v>8.0399999999999991</v>
      </c>
      <c r="R24" s="76">
        <v>-1.2030000000000001</v>
      </c>
      <c r="S24" s="65"/>
      <c r="T24" s="76">
        <f t="shared" si="2"/>
        <v>6.8369999999999989</v>
      </c>
    </row>
    <row r="25" spans="1:20" s="40" customFormat="1" ht="16.75">
      <c r="A25" s="68" t="s">
        <v>30</v>
      </c>
      <c r="B25" s="34"/>
      <c r="C25" s="76">
        <v>-1.004</v>
      </c>
      <c r="D25" s="76">
        <v>-1.85</v>
      </c>
      <c r="E25" s="76">
        <v>-0.48299999999999998</v>
      </c>
      <c r="F25" s="76">
        <v>-1.2430000000000001</v>
      </c>
      <c r="G25" s="34"/>
      <c r="H25" s="76">
        <f t="shared" si="0"/>
        <v>-4.58</v>
      </c>
      <c r="I25" s="34"/>
      <c r="J25" s="76">
        <v>-1.133</v>
      </c>
      <c r="K25" s="76">
        <v>-0.42799999999999999</v>
      </c>
      <c r="L25" s="76">
        <v>-0.44900000000000001</v>
      </c>
      <c r="M25" s="76">
        <v>-1.278</v>
      </c>
      <c r="N25" s="34"/>
      <c r="O25" s="76">
        <f t="shared" si="1"/>
        <v>-3.2879999999999998</v>
      </c>
      <c r="Q25" s="76">
        <v>-1.909</v>
      </c>
      <c r="R25" s="76">
        <v>-0.67300000000000004</v>
      </c>
      <c r="S25" s="65"/>
      <c r="T25" s="76">
        <f t="shared" si="2"/>
        <v>-2.5819999999999999</v>
      </c>
    </row>
    <row r="26" spans="1:20" s="40" customFormat="1" ht="16.75">
      <c r="A26" s="68" t="s">
        <v>65</v>
      </c>
      <c r="B26" s="34"/>
      <c r="C26" s="76">
        <v>-0.14099999999999999</v>
      </c>
      <c r="D26" s="76">
        <v>-0.224</v>
      </c>
      <c r="E26" s="76">
        <v>-0.24</v>
      </c>
      <c r="F26" s="76">
        <v>-0.16900000000000001</v>
      </c>
      <c r="G26" s="34"/>
      <c r="H26" s="76">
        <f t="shared" si="0"/>
        <v>-0.77400000000000002</v>
      </c>
      <c r="I26" s="34"/>
      <c r="J26" s="76">
        <v>0</v>
      </c>
      <c r="K26" s="76">
        <v>0</v>
      </c>
      <c r="L26" s="76">
        <v>0</v>
      </c>
      <c r="M26" s="76">
        <v>0</v>
      </c>
      <c r="N26" s="34"/>
      <c r="O26" s="76">
        <f t="shared" si="1"/>
        <v>0</v>
      </c>
      <c r="Q26" s="76">
        <v>0</v>
      </c>
      <c r="R26" s="76">
        <v>0</v>
      </c>
      <c r="S26" s="65"/>
      <c r="T26" s="76">
        <f t="shared" si="2"/>
        <v>0</v>
      </c>
    </row>
    <row r="27" spans="1:20" s="40" customFormat="1" ht="16.75">
      <c r="A27" s="40" t="s">
        <v>37</v>
      </c>
      <c r="B27" s="69"/>
      <c r="C27" s="76">
        <v>-0.28799999999999998</v>
      </c>
      <c r="D27" s="76">
        <v>-4.8760000000000003</v>
      </c>
      <c r="E27" s="76">
        <v>-9.8000000000000004E-2</v>
      </c>
      <c r="F27" s="76">
        <v>-0.14499999999999999</v>
      </c>
      <c r="G27" s="69"/>
      <c r="H27" s="76">
        <f t="shared" si="0"/>
        <v>-5.407</v>
      </c>
      <c r="I27" s="69"/>
      <c r="J27" s="76">
        <v>0</v>
      </c>
      <c r="K27" s="76">
        <v>0</v>
      </c>
      <c r="L27" s="76">
        <v>0</v>
      </c>
      <c r="M27" s="76">
        <v>0</v>
      </c>
      <c r="N27" s="69"/>
      <c r="O27" s="76">
        <f t="shared" si="1"/>
        <v>0</v>
      </c>
      <c r="Q27" s="76">
        <v>0</v>
      </c>
      <c r="R27" s="76">
        <v>0</v>
      </c>
      <c r="S27" s="65"/>
      <c r="T27" s="76">
        <f t="shared" si="2"/>
        <v>0</v>
      </c>
    </row>
    <row r="28" spans="1:20" s="40" customFormat="1" ht="16.75">
      <c r="A28" s="40" t="s">
        <v>38</v>
      </c>
      <c r="B28" s="71"/>
      <c r="C28" s="76">
        <v>-2.7789999999999999</v>
      </c>
      <c r="D28" s="76">
        <v>-12.1</v>
      </c>
      <c r="E28" s="76">
        <v>-1.9370000000000001</v>
      </c>
      <c r="F28" s="76">
        <v>-1.377</v>
      </c>
      <c r="G28" s="71"/>
      <c r="H28" s="76">
        <f t="shared" si="0"/>
        <v>-18.192999999999998</v>
      </c>
      <c r="I28" s="71"/>
      <c r="J28" s="76">
        <v>0</v>
      </c>
      <c r="K28" s="76">
        <v>0</v>
      </c>
      <c r="L28" s="76">
        <v>0</v>
      </c>
      <c r="M28" s="76">
        <v>0</v>
      </c>
      <c r="N28" s="71"/>
      <c r="O28" s="76">
        <f t="shared" si="1"/>
        <v>0</v>
      </c>
      <c r="Q28" s="76">
        <v>0</v>
      </c>
      <c r="R28" s="76">
        <v>0</v>
      </c>
      <c r="S28" s="65"/>
      <c r="T28" s="76">
        <f t="shared" si="2"/>
        <v>0</v>
      </c>
    </row>
    <row r="29" spans="1:20" s="40" customFormat="1" ht="16.75">
      <c r="A29" s="68" t="s">
        <v>99</v>
      </c>
      <c r="B29" s="71"/>
      <c r="C29" s="70">
        <v>-2.9000000000000001E-2</v>
      </c>
      <c r="D29" s="70">
        <v>-0.182</v>
      </c>
      <c r="E29" s="70">
        <v>-1E-3</v>
      </c>
      <c r="F29" s="70">
        <v>-8.9999999999999993E-3</v>
      </c>
      <c r="H29" s="70">
        <f t="shared" si="0"/>
        <v>-0.221</v>
      </c>
      <c r="J29" s="70">
        <v>-0.109</v>
      </c>
      <c r="K29" s="70">
        <v>-9.9000000000000005E-2</v>
      </c>
      <c r="L29" s="70">
        <v>-0.108</v>
      </c>
      <c r="M29" s="70">
        <v>-0.106</v>
      </c>
      <c r="O29" s="70">
        <f t="shared" si="1"/>
        <v>-0.42199999999999999</v>
      </c>
      <c r="Q29" s="70">
        <v>-9.7000000000000003E-2</v>
      </c>
      <c r="R29" s="70">
        <v>-0.29099999999999998</v>
      </c>
      <c r="S29" s="65"/>
      <c r="T29" s="70">
        <f t="shared" si="2"/>
        <v>-0.38800000000000001</v>
      </c>
    </row>
    <row r="30" spans="1:20" s="40" customFormat="1" ht="33.5">
      <c r="A30" s="45" t="s">
        <v>63</v>
      </c>
      <c r="B30" s="34"/>
      <c r="C30" s="78">
        <f>SUM(C23:C29)+C20</f>
        <v>77.119</v>
      </c>
      <c r="D30" s="78">
        <f>SUM(D23:D29)+D20</f>
        <v>76.688000000000002</v>
      </c>
      <c r="E30" s="78">
        <f>SUM(E23:E29)+E20</f>
        <v>73.259</v>
      </c>
      <c r="F30" s="78">
        <f>SUM(F23:F29)+F20</f>
        <v>82.381</v>
      </c>
      <c r="G30" s="34"/>
      <c r="H30" s="78">
        <f>SUM(H23:H29)+H20</f>
        <v>309.447</v>
      </c>
      <c r="I30" s="34"/>
      <c r="J30" s="78">
        <f>SUM(J23:J29)+J20</f>
        <v>78.432999999999993</v>
      </c>
      <c r="K30" s="78">
        <f>SUM(K23:K29)+K20</f>
        <v>74.697999999999993</v>
      </c>
      <c r="L30" s="78">
        <f>SUM(L23:L29)+L20</f>
        <v>80.298999999999992</v>
      </c>
      <c r="M30" s="78">
        <f>SUM(M23:M29)+M20</f>
        <v>77.42</v>
      </c>
      <c r="N30" s="34"/>
      <c r="O30" s="78">
        <f>SUM(O23:O29)+O20</f>
        <v>310.85000000000008</v>
      </c>
      <c r="Q30" s="78">
        <f>SUM(Q23:Q29)+Q20</f>
        <v>83.650999999999996</v>
      </c>
      <c r="R30" s="105">
        <f>SUM(R23:R29)+R20</f>
        <v>79.866000000000014</v>
      </c>
      <c r="S30" s="65"/>
      <c r="T30" s="105">
        <f>SUM(T23:T29)+T20</f>
        <v>163.517</v>
      </c>
    </row>
    <row r="31" spans="1:20" s="40" customFormat="1" ht="16.75">
      <c r="A31" s="72" t="s">
        <v>60</v>
      </c>
      <c r="B31" s="34"/>
      <c r="C31" s="75">
        <v>0.35499999999999998</v>
      </c>
      <c r="D31" s="75">
        <v>0.36399999999999999</v>
      </c>
      <c r="E31" s="75">
        <v>0.33500000000000002</v>
      </c>
      <c r="F31" s="75">
        <v>0.311</v>
      </c>
      <c r="G31" s="34"/>
      <c r="H31" s="75">
        <v>0.33900000000000002</v>
      </c>
      <c r="I31" s="34"/>
      <c r="J31" s="75">
        <v>0.35399999999999998</v>
      </c>
      <c r="K31" s="75">
        <v>0.35499999999999998</v>
      </c>
      <c r="L31" s="75">
        <v>0.35799999999999998</v>
      </c>
      <c r="M31" s="75">
        <v>0.30499999999999999</v>
      </c>
      <c r="N31" s="34"/>
      <c r="O31" s="75">
        <v>0.34200000000000003</v>
      </c>
      <c r="Q31" s="75">
        <v>0.40200000000000002</v>
      </c>
      <c r="R31" s="75">
        <v>0.38400000000000001</v>
      </c>
      <c r="T31" s="75">
        <v>0.39300000000000002</v>
      </c>
    </row>
    <row r="32" spans="1:20" s="40" customFormat="1" ht="16.75">
      <c r="A32" s="45"/>
      <c r="B32" s="71"/>
      <c r="G32" s="71"/>
      <c r="I32" s="71"/>
      <c r="K32" s="96"/>
      <c r="N32" s="71"/>
    </row>
    <row r="33" spans="1:15" s="34" customFormat="1">
      <c r="B33" s="71"/>
      <c r="G33" s="71"/>
      <c r="I33" s="71"/>
      <c r="N33" s="71"/>
    </row>
    <row r="34" spans="1:15" s="34" customFormat="1">
      <c r="B34" s="71"/>
      <c r="G34" s="71"/>
      <c r="I34" s="71"/>
      <c r="N34" s="71"/>
    </row>
    <row r="35" spans="1:15" s="34" customFormat="1">
      <c r="B35" s="71"/>
      <c r="G35" s="71"/>
      <c r="I35" s="71"/>
      <c r="N35" s="71"/>
    </row>
    <row r="36" spans="1:15" s="34" customFormat="1" ht="33.5">
      <c r="A36" s="10" t="s">
        <v>67</v>
      </c>
      <c r="B36" s="69"/>
      <c r="G36" s="69"/>
      <c r="I36" s="69"/>
      <c r="N36" s="69"/>
    </row>
    <row r="37" spans="1:15" s="34" customFormat="1">
      <c r="O37" s="95"/>
    </row>
    <row r="38" spans="1:15" s="34" customFormat="1" ht="184.25">
      <c r="A38" s="10" t="s">
        <v>68</v>
      </c>
    </row>
    <row r="39" spans="1:15" s="34" customFormat="1"/>
    <row r="40" spans="1:15" s="34" customFormat="1"/>
    <row r="41" spans="1:15" s="34" customFormat="1" ht="16.75">
      <c r="B41" s="69"/>
      <c r="C41" s="83"/>
      <c r="G41" s="69"/>
      <c r="I41" s="69"/>
      <c r="N41" s="69"/>
    </row>
    <row r="42" spans="1:15" s="34" customFormat="1" ht="16.75">
      <c r="B42" s="71"/>
      <c r="C42" s="82"/>
      <c r="G42" s="71"/>
      <c r="I42" s="71"/>
      <c r="N42" s="71"/>
    </row>
    <row r="43" spans="1:15" s="34" customFormat="1">
      <c r="B43" s="71"/>
      <c r="G43" s="71"/>
      <c r="I43" s="71"/>
      <c r="N43" s="71"/>
    </row>
    <row r="44" spans="1:15" s="34" customFormat="1"/>
    <row r="45" spans="1:15" s="34" customFormat="1"/>
    <row r="46" spans="1:15" s="34" customFormat="1">
      <c r="B46" s="71"/>
      <c r="G46" s="71"/>
      <c r="I46" s="71"/>
      <c r="N46" s="71"/>
    </row>
    <row r="47" spans="1:15" s="34" customFormat="1">
      <c r="B47" s="71"/>
      <c r="G47" s="71"/>
      <c r="I47" s="71"/>
      <c r="N47" s="71"/>
    </row>
    <row r="48" spans="1:15" s="34" customFormat="1">
      <c r="B48" s="69"/>
      <c r="G48" s="69"/>
      <c r="I48" s="69"/>
      <c r="N48" s="69"/>
    </row>
    <row r="49" spans="2:14" s="34" customFormat="1"/>
    <row r="50" spans="2:14" s="34" customFormat="1"/>
    <row r="51" spans="2:14" s="34" customFormat="1"/>
    <row r="52" spans="2:14" s="34" customFormat="1"/>
    <row r="53" spans="2:14" s="34" customFormat="1">
      <c r="B53" s="69"/>
      <c r="G53" s="69"/>
      <c r="I53" s="69"/>
      <c r="N53" s="69"/>
    </row>
    <row r="54" spans="2:14" s="34" customFormat="1">
      <c r="B54" s="71"/>
      <c r="G54" s="71"/>
      <c r="I54" s="71"/>
      <c r="N54" s="71"/>
    </row>
    <row r="55" spans="2:14" s="34" customFormat="1">
      <c r="B55" s="71"/>
      <c r="G55" s="71"/>
      <c r="I55" s="71"/>
      <c r="N55" s="71"/>
    </row>
    <row r="56" spans="2:14" s="34" customFormat="1"/>
    <row r="57" spans="2:14" s="34" customFormat="1"/>
    <row r="58" spans="2:14" s="34" customFormat="1">
      <c r="B58" s="71"/>
      <c r="G58" s="71"/>
      <c r="I58" s="71"/>
      <c r="N58" s="71"/>
    </row>
    <row r="59" spans="2:14" s="34" customFormat="1">
      <c r="B59" s="71"/>
      <c r="G59" s="71"/>
      <c r="I59" s="71"/>
      <c r="N59" s="71"/>
    </row>
    <row r="60" spans="2:14" s="34" customFormat="1">
      <c r="B60" s="71"/>
      <c r="G60" s="71"/>
      <c r="I60" s="71"/>
      <c r="N60" s="71"/>
    </row>
    <row r="61" spans="2:14" s="34" customFormat="1">
      <c r="B61" s="69"/>
      <c r="G61" s="69"/>
      <c r="I61" s="69"/>
      <c r="N61" s="69"/>
    </row>
    <row r="62" spans="2:14" s="34" customFormat="1"/>
    <row r="63" spans="2:14" s="34" customFormat="1"/>
    <row r="64" spans="2:14" s="34" customFormat="1"/>
    <row r="65" s="34" customFormat="1"/>
    <row r="66" s="34" customFormat="1"/>
    <row r="67" s="34" customFormat="1"/>
    <row r="68" s="34" customFormat="1"/>
    <row r="69" s="34" customFormat="1"/>
    <row r="70" s="34" customFormat="1"/>
    <row r="71" s="34" customFormat="1"/>
    <row r="72" s="34" customFormat="1"/>
    <row r="73" s="34" customFormat="1"/>
    <row r="74" s="34" customFormat="1"/>
    <row r="75" s="34" customFormat="1"/>
    <row r="76" s="34" customFormat="1"/>
    <row r="77" s="34" customFormat="1"/>
    <row r="78" s="34" customFormat="1"/>
    <row r="79" s="34" customFormat="1"/>
    <row r="80" s="34" customFormat="1"/>
    <row r="81" s="34" customFormat="1"/>
    <row r="82" s="34" customFormat="1"/>
    <row r="83" s="34" customFormat="1"/>
    <row r="84" s="34" customFormat="1"/>
    <row r="85" s="34" customFormat="1"/>
    <row r="86" s="34" customFormat="1"/>
    <row r="87" s="34" customFormat="1"/>
    <row r="88" s="34" customFormat="1"/>
    <row r="89" s="34" customFormat="1"/>
    <row r="90" s="34" customFormat="1"/>
    <row r="91" s="34" customFormat="1"/>
    <row r="92" s="34" customFormat="1"/>
    <row r="93" s="34" customFormat="1"/>
    <row r="94" s="34" customFormat="1"/>
    <row r="95" s="34" customFormat="1"/>
    <row r="96" s="34" customFormat="1"/>
    <row r="97" s="34" customFormat="1"/>
    <row r="98" s="34" customFormat="1"/>
    <row r="99" s="34" customFormat="1"/>
    <row r="100" s="34" customFormat="1"/>
    <row r="101" s="34" customFormat="1"/>
    <row r="102" s="34" customFormat="1"/>
    <row r="103" s="34" customFormat="1"/>
    <row r="104" s="34" customFormat="1"/>
    <row r="105" s="34" customFormat="1"/>
    <row r="106" s="34" customFormat="1"/>
    <row r="107" s="34" customFormat="1"/>
    <row r="108" s="34" customFormat="1"/>
    <row r="109" s="34" customFormat="1"/>
    <row r="110" s="34" customFormat="1"/>
    <row r="111" s="34" customFormat="1"/>
    <row r="112" s="34" customFormat="1"/>
    <row r="113" s="34" customFormat="1"/>
    <row r="114" s="34" customFormat="1"/>
    <row r="115" s="34" customFormat="1"/>
    <row r="116" s="34" customFormat="1"/>
    <row r="117" s="34" customFormat="1"/>
    <row r="118" s="34" customFormat="1"/>
    <row r="119" s="34" customFormat="1"/>
    <row r="120" s="34" customFormat="1"/>
    <row r="121" s="34" customFormat="1"/>
    <row r="122" s="34" customFormat="1"/>
    <row r="123" s="34" customFormat="1"/>
    <row r="124" s="34" customFormat="1"/>
    <row r="125" s="34" customFormat="1"/>
    <row r="126" s="34" customFormat="1"/>
    <row r="127" s="34" customFormat="1"/>
    <row r="128" s="34" customFormat="1"/>
    <row r="129" s="34" customFormat="1"/>
    <row r="130" s="34" customFormat="1"/>
    <row r="131" s="34" customFormat="1"/>
    <row r="132" s="34" customFormat="1"/>
    <row r="133" s="34" customFormat="1"/>
    <row r="134" s="34" customFormat="1"/>
    <row r="135" s="34" customFormat="1"/>
    <row r="136" s="34" customFormat="1"/>
    <row r="137" s="34" customFormat="1"/>
    <row r="138" s="34" customFormat="1"/>
    <row r="139" s="34" customFormat="1"/>
    <row r="140" s="34" customFormat="1"/>
    <row r="141" s="34" customFormat="1"/>
    <row r="142" s="34" customFormat="1"/>
    <row r="143" s="34" customFormat="1"/>
    <row r="144" s="34" customFormat="1"/>
    <row r="145" s="34" customFormat="1"/>
    <row r="146" s="34" customFormat="1"/>
    <row r="147" s="34" customFormat="1"/>
    <row r="148" s="34" customFormat="1"/>
    <row r="149" s="34" customFormat="1"/>
    <row r="150" s="34" customFormat="1"/>
    <row r="151" s="34" customFormat="1"/>
    <row r="152" s="34" customFormat="1"/>
    <row r="153" s="34" customFormat="1"/>
    <row r="154" s="34" customFormat="1"/>
    <row r="155" s="34" customFormat="1"/>
    <row r="156" s="34" customFormat="1"/>
    <row r="157" s="34" customFormat="1"/>
    <row r="158" s="34" customFormat="1"/>
    <row r="159" s="34" customFormat="1"/>
    <row r="160" s="34" customFormat="1"/>
    <row r="161" s="34" customFormat="1"/>
    <row r="162" s="34" customFormat="1"/>
    <row r="163" s="34" customFormat="1"/>
    <row r="164" s="34" customFormat="1"/>
    <row r="165" s="34" customFormat="1"/>
    <row r="166" s="34" customFormat="1"/>
    <row r="167" s="34" customFormat="1"/>
    <row r="168" s="34" customFormat="1"/>
    <row r="169" s="34" customFormat="1"/>
    <row r="170" s="34" customFormat="1"/>
    <row r="171" s="34" customFormat="1"/>
    <row r="172" s="34" customFormat="1"/>
    <row r="173" s="34" customFormat="1"/>
    <row r="174" s="34" customFormat="1"/>
    <row r="175" s="34" customFormat="1"/>
    <row r="176" s="34" customFormat="1"/>
    <row r="177" s="34" customFormat="1"/>
    <row r="178" s="34" customFormat="1"/>
    <row r="179" s="34" customFormat="1"/>
    <row r="180" s="34" customFormat="1"/>
    <row r="181" s="34" customFormat="1"/>
    <row r="182" s="34" customFormat="1"/>
    <row r="183" s="34" customFormat="1"/>
    <row r="184" s="34" customFormat="1"/>
    <row r="185" s="34" customFormat="1"/>
    <row r="186" s="34" customFormat="1"/>
    <row r="187" s="34" customFormat="1"/>
    <row r="188" s="34" customFormat="1"/>
    <row r="189" s="34" customFormat="1"/>
    <row r="190" s="34" customFormat="1"/>
    <row r="191" s="34" customFormat="1"/>
    <row r="192" s="34" customFormat="1"/>
    <row r="193" s="34" customFormat="1"/>
    <row r="194" s="34" customFormat="1"/>
  </sheetData>
  <mergeCells count="3">
    <mergeCell ref="C3:F3"/>
    <mergeCell ref="J3:M3"/>
    <mergeCell ref="Q3:R3"/>
  </mergeCells>
  <pageMargins left="0.25" right="0.25" top="0.75" bottom="0.75" header="0.3" footer="0.3"/>
  <pageSetup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C257B-1860-495B-AB9F-D2DE87AE7FA9}">
  <sheetPr>
    <tabColor theme="0" tint="-0.249977111117893"/>
  </sheetPr>
  <dimension ref="B1:N80"/>
  <sheetViews>
    <sheetView zoomScale="70" zoomScaleNormal="70" workbookViewId="0"/>
  </sheetViews>
  <sheetFormatPr defaultColWidth="9.1328125" defaultRowHeight="16.75"/>
  <cols>
    <col min="1" max="1" width="9.1328125" style="40"/>
    <col min="2" max="2" width="199.1328125" style="89" customWidth="1"/>
    <col min="3" max="3" width="10.76953125" style="40" customWidth="1"/>
    <col min="4" max="6" width="9.1328125" style="40"/>
    <col min="7" max="7" width="73.76953125" style="40" bestFit="1" customWidth="1"/>
    <col min="8" max="8" width="1.76953125" style="34" customWidth="1"/>
    <col min="9" max="12" width="15.5" style="40" customWidth="1"/>
    <col min="13" max="13" width="1.76953125" style="34" customWidth="1"/>
    <col min="14" max="14" width="15.5" style="40" customWidth="1"/>
    <col min="15" max="16384" width="9.1328125" style="40"/>
  </cols>
  <sheetData>
    <row r="1" spans="2:6" ht="18">
      <c r="B1" s="87" t="s">
        <v>71</v>
      </c>
      <c r="C1" s="88"/>
      <c r="D1" s="88"/>
      <c r="E1" s="88"/>
      <c r="F1" s="88"/>
    </row>
    <row r="3" spans="2:6">
      <c r="B3" s="90" t="s">
        <v>72</v>
      </c>
    </row>
    <row r="5" spans="2:6" ht="83.75">
      <c r="B5" s="91" t="s">
        <v>73</v>
      </c>
    </row>
    <row r="6" spans="2:6" ht="33.5">
      <c r="B6" s="91" t="s">
        <v>74</v>
      </c>
    </row>
    <row r="7" spans="2:6" ht="33.5">
      <c r="B7" s="91" t="s">
        <v>75</v>
      </c>
    </row>
    <row r="8" spans="2:6">
      <c r="B8" s="91" t="s">
        <v>76</v>
      </c>
    </row>
    <row r="9" spans="2:6" ht="33.5">
      <c r="B9" s="91" t="s">
        <v>77</v>
      </c>
    </row>
    <row r="10" spans="2:6">
      <c r="B10" s="91" t="s">
        <v>78</v>
      </c>
    </row>
    <row r="11" spans="2:6">
      <c r="B11" s="91"/>
    </row>
    <row r="12" spans="2:6" ht="102" customHeight="1">
      <c r="B12" s="91" t="s">
        <v>79</v>
      </c>
    </row>
    <row r="13" spans="2:6">
      <c r="B13" s="92"/>
    </row>
    <row r="14" spans="2:6">
      <c r="B14" s="91" t="s">
        <v>80</v>
      </c>
    </row>
    <row r="15" spans="2:6" ht="117.25">
      <c r="B15" s="91" t="s">
        <v>81</v>
      </c>
    </row>
    <row r="16" spans="2:6" ht="67">
      <c r="B16" s="91" t="s">
        <v>82</v>
      </c>
    </row>
    <row r="17" spans="2:2" ht="117.25">
      <c r="B17" s="91" t="s">
        <v>83</v>
      </c>
    </row>
    <row r="18" spans="2:2" ht="117.25">
      <c r="B18" s="91" t="s">
        <v>84</v>
      </c>
    </row>
    <row r="19" spans="2:2" ht="83.75">
      <c r="B19" s="91" t="s">
        <v>85</v>
      </c>
    </row>
    <row r="20" spans="2:2" ht="167.5">
      <c r="B20" s="100" t="s">
        <v>86</v>
      </c>
    </row>
    <row r="21" spans="2:2" ht="50.25">
      <c r="B21" s="91" t="s">
        <v>87</v>
      </c>
    </row>
    <row r="22" spans="2:2" ht="67">
      <c r="B22" s="91" t="s">
        <v>88</v>
      </c>
    </row>
    <row r="23" spans="2:2" ht="184.25">
      <c r="B23" s="91" t="s">
        <v>89</v>
      </c>
    </row>
    <row r="25" spans="2:2">
      <c r="B25" s="93" t="s">
        <v>90</v>
      </c>
    </row>
    <row r="26" spans="2:2">
      <c r="B26" s="91"/>
    </row>
    <row r="27" spans="2:2">
      <c r="B27" s="91" t="s">
        <v>109</v>
      </c>
    </row>
    <row r="28" spans="2:2">
      <c r="B28" s="40"/>
    </row>
    <row r="29" spans="2:2" ht="33.5">
      <c r="B29" s="91" t="s">
        <v>110</v>
      </c>
    </row>
    <row r="30" spans="2:2">
      <c r="B30" s="91"/>
    </row>
    <row r="31" spans="2:2" ht="33.5">
      <c r="B31" s="91" t="s">
        <v>91</v>
      </c>
    </row>
    <row r="32" spans="2:2">
      <c r="B32" s="91"/>
    </row>
    <row r="33" spans="2:14">
      <c r="B33" s="90" t="s">
        <v>92</v>
      </c>
    </row>
    <row r="35" spans="2:14" ht="201">
      <c r="B35" s="94" t="s">
        <v>105</v>
      </c>
    </row>
    <row r="36" spans="2:14" ht="36" customHeight="1">
      <c r="B36" s="89" t="s">
        <v>106</v>
      </c>
    </row>
    <row r="37" spans="2:14" ht="15" customHeight="1"/>
    <row r="38" spans="2:14" s="83" customFormat="1" ht="37" customHeight="1">
      <c r="B38" s="91" t="s">
        <v>104</v>
      </c>
    </row>
    <row r="39" spans="2:14" ht="18.7" customHeight="1">
      <c r="B39" s="91"/>
    </row>
    <row r="40" spans="2:14" ht="33.5">
      <c r="B40" s="91" t="s">
        <v>93</v>
      </c>
      <c r="H40" s="71"/>
      <c r="M40" s="71"/>
    </row>
    <row r="41" spans="2:14">
      <c r="B41" s="91"/>
      <c r="H41" s="69"/>
      <c r="M41" s="69"/>
    </row>
    <row r="42" spans="2:14" ht="33.5">
      <c r="B42" s="91" t="s">
        <v>101</v>
      </c>
    </row>
    <row r="43" spans="2:14">
      <c r="H43" s="69"/>
      <c r="M43" s="69"/>
    </row>
    <row r="44" spans="2:14" ht="17">
      <c r="B44" s="91"/>
      <c r="G44" s="36" t="s">
        <v>94</v>
      </c>
      <c r="I44" s="110" t="s">
        <v>1</v>
      </c>
      <c r="J44" s="110"/>
      <c r="K44" s="110"/>
      <c r="L44" s="110"/>
      <c r="N44" s="37" t="s">
        <v>2</v>
      </c>
    </row>
    <row r="45" spans="2:14" ht="29.25" customHeight="1">
      <c r="B45" s="91"/>
      <c r="G45" s="36" t="s">
        <v>4</v>
      </c>
      <c r="I45" s="38" t="s">
        <v>3</v>
      </c>
      <c r="J45" s="38" t="s">
        <v>14</v>
      </c>
      <c r="K45" s="38" t="s">
        <v>15</v>
      </c>
      <c r="L45" s="38" t="s">
        <v>16</v>
      </c>
      <c r="N45" s="38" t="s">
        <v>16</v>
      </c>
    </row>
    <row r="46" spans="2:14">
      <c r="G46" s="39" t="s">
        <v>17</v>
      </c>
      <c r="H46" s="2"/>
      <c r="M46" s="2"/>
    </row>
    <row r="47" spans="2:14">
      <c r="G47" s="41" t="s">
        <v>18</v>
      </c>
      <c r="H47" s="2"/>
      <c r="I47" s="42">
        <v>216.566</v>
      </c>
      <c r="J47" s="42">
        <v>210.16499999999999</v>
      </c>
      <c r="K47" s="42">
        <v>218.547</v>
      </c>
      <c r="L47" s="42">
        <v>265.10899999999998</v>
      </c>
      <c r="M47" s="2"/>
      <c r="N47" s="42">
        <v>910.38699999999994</v>
      </c>
    </row>
    <row r="48" spans="2:14">
      <c r="G48" s="43" t="s">
        <v>19</v>
      </c>
      <c r="H48" s="2"/>
      <c r="I48" s="44">
        <v>6.7590000000000003</v>
      </c>
      <c r="J48" s="44">
        <v>6.4290000000000003</v>
      </c>
      <c r="K48" s="44">
        <v>6.1139999999999999</v>
      </c>
      <c r="L48" s="44">
        <v>5.9459999999999997</v>
      </c>
      <c r="M48" s="2"/>
      <c r="N48" s="44">
        <v>25.247999999999998</v>
      </c>
    </row>
    <row r="49" spans="7:14">
      <c r="G49" s="41" t="s">
        <v>20</v>
      </c>
      <c r="I49" s="42">
        <v>209.80700000000002</v>
      </c>
      <c r="J49" s="42">
        <v>203.73599999999999</v>
      </c>
      <c r="K49" s="42">
        <v>212.43299999999999</v>
      </c>
      <c r="L49" s="42">
        <v>259.16299999999995</v>
      </c>
      <c r="N49" s="42">
        <v>885.1389999999999</v>
      </c>
    </row>
    <row r="50" spans="7:14">
      <c r="G50" s="45"/>
      <c r="H50" s="59"/>
      <c r="I50" s="46"/>
      <c r="J50" s="46"/>
      <c r="K50" s="46"/>
      <c r="L50" s="46"/>
      <c r="M50" s="59"/>
      <c r="N50" s="46"/>
    </row>
    <row r="51" spans="7:14">
      <c r="G51" s="41" t="s">
        <v>21</v>
      </c>
      <c r="H51" s="40"/>
      <c r="I51" s="42">
        <v>217.19300000000001</v>
      </c>
      <c r="J51" s="42">
        <v>210.40700000000001</v>
      </c>
      <c r="K51" s="42">
        <v>218.667</v>
      </c>
      <c r="L51" s="42">
        <v>265.22000000000003</v>
      </c>
      <c r="M51" s="40"/>
      <c r="N51" s="42">
        <v>911.48700000000008</v>
      </c>
    </row>
    <row r="52" spans="7:14">
      <c r="G52" s="43" t="s">
        <v>19</v>
      </c>
      <c r="H52" s="62"/>
      <c r="I52" s="44">
        <v>6.7590000000000003</v>
      </c>
      <c r="J52" s="44">
        <v>6.4290000000000003</v>
      </c>
      <c r="K52" s="44">
        <v>6.1139999999999999</v>
      </c>
      <c r="L52" s="44">
        <v>5.9459999999999997</v>
      </c>
      <c r="M52" s="62"/>
      <c r="N52" s="44">
        <v>25.247999999999998</v>
      </c>
    </row>
    <row r="53" spans="7:14">
      <c r="G53" s="41" t="s">
        <v>22</v>
      </c>
      <c r="H53" s="62"/>
      <c r="I53" s="42">
        <v>210.43400000000003</v>
      </c>
      <c r="J53" s="42">
        <v>203.97800000000001</v>
      </c>
      <c r="K53" s="42">
        <v>212.553</v>
      </c>
      <c r="L53" s="42">
        <v>259.274</v>
      </c>
      <c r="M53" s="62"/>
      <c r="N53" s="42">
        <v>886.23900000000003</v>
      </c>
    </row>
    <row r="54" spans="7:14">
      <c r="G54" s="41"/>
      <c r="H54" s="62"/>
      <c r="I54" s="42"/>
      <c r="J54" s="42"/>
      <c r="K54" s="42"/>
      <c r="L54" s="42"/>
      <c r="M54" s="62"/>
      <c r="N54" s="42"/>
    </row>
    <row r="55" spans="7:14">
      <c r="G55" s="41"/>
      <c r="H55" s="62"/>
      <c r="I55" s="42"/>
      <c r="J55" s="42"/>
      <c r="K55" s="42"/>
      <c r="L55" s="42"/>
      <c r="M55" s="62"/>
      <c r="N55" s="42"/>
    </row>
    <row r="56" spans="7:14">
      <c r="G56" s="39" t="s">
        <v>23</v>
      </c>
      <c r="H56" s="65"/>
      <c r="I56" s="47"/>
      <c r="J56" s="47"/>
      <c r="K56" s="47"/>
      <c r="L56" s="47"/>
      <c r="M56" s="65"/>
    </row>
    <row r="57" spans="7:14">
      <c r="G57" s="41" t="s">
        <v>24</v>
      </c>
      <c r="H57" s="40"/>
      <c r="I57" s="42">
        <v>68.403000000000006</v>
      </c>
      <c r="J57" s="42">
        <v>68.876000000000005</v>
      </c>
      <c r="K57" s="42">
        <v>65.537999999999997</v>
      </c>
      <c r="L57" s="42">
        <v>74.295000000000002</v>
      </c>
      <c r="M57" s="40"/>
      <c r="N57" s="42">
        <v>277.11200000000002</v>
      </c>
    </row>
    <row r="58" spans="7:14">
      <c r="G58" s="43" t="s">
        <v>25</v>
      </c>
      <c r="H58" s="47"/>
      <c r="I58" s="44">
        <v>5.6539999999999999</v>
      </c>
      <c r="J58" s="44">
        <v>5.657</v>
      </c>
      <c r="K58" s="44">
        <v>4.76</v>
      </c>
      <c r="L58" s="44">
        <v>8.4689999999999994</v>
      </c>
      <c r="M58" s="47"/>
      <c r="N58" s="44">
        <v>24.54</v>
      </c>
    </row>
    <row r="59" spans="7:14">
      <c r="G59" s="41" t="s">
        <v>26</v>
      </c>
      <c r="H59" s="40"/>
      <c r="I59" s="84">
        <v>62.749000000000009</v>
      </c>
      <c r="J59" s="84">
        <v>63.219000000000008</v>
      </c>
      <c r="K59" s="84">
        <v>60.777999999999999</v>
      </c>
      <c r="L59" s="84">
        <v>65.826000000000008</v>
      </c>
      <c r="M59" s="40"/>
      <c r="N59" s="84">
        <v>252.57200000000003</v>
      </c>
    </row>
    <row r="60" spans="7:14">
      <c r="G60" s="45"/>
      <c r="H60" s="61"/>
      <c r="I60" s="46"/>
      <c r="J60" s="46"/>
      <c r="K60" s="46"/>
      <c r="L60" s="46"/>
      <c r="M60" s="61"/>
      <c r="N60" s="46"/>
    </row>
    <row r="61" spans="7:14">
      <c r="G61" s="43" t="s">
        <v>27</v>
      </c>
      <c r="H61" s="84"/>
      <c r="I61" s="48">
        <v>1.9650000000000001</v>
      </c>
      <c r="J61" s="48">
        <v>1.9370000000000001</v>
      </c>
      <c r="K61" s="48">
        <v>1.609</v>
      </c>
      <c r="L61" s="48">
        <v>1.623</v>
      </c>
      <c r="M61" s="84"/>
      <c r="N61" s="48">
        <v>7.1340000000000003</v>
      </c>
    </row>
    <row r="62" spans="7:14">
      <c r="G62" s="43" t="s">
        <v>28</v>
      </c>
      <c r="H62" s="61"/>
      <c r="I62" s="48">
        <v>0.42499999999999999</v>
      </c>
      <c r="J62" s="48">
        <v>1.355</v>
      </c>
      <c r="K62" s="48">
        <v>1.0680000000000001</v>
      </c>
      <c r="L62" s="48">
        <v>1.232</v>
      </c>
      <c r="M62" s="61"/>
      <c r="N62" s="48">
        <v>4.08</v>
      </c>
    </row>
    <row r="63" spans="7:14">
      <c r="G63" s="43" t="s">
        <v>64</v>
      </c>
      <c r="H63" s="65"/>
      <c r="I63" s="48">
        <v>5.6000000000000001E-2</v>
      </c>
      <c r="J63" s="48">
        <v>0.02</v>
      </c>
      <c r="K63" s="48">
        <v>2.1000000000000001E-2</v>
      </c>
      <c r="L63" s="48">
        <v>1.9E-2</v>
      </c>
      <c r="M63" s="65"/>
      <c r="N63" s="48">
        <v>0.11600000000000001</v>
      </c>
    </row>
    <row r="64" spans="7:14">
      <c r="G64" s="43" t="s">
        <v>30</v>
      </c>
      <c r="H64" s="65"/>
      <c r="I64" s="44">
        <v>0.25600000000000001</v>
      </c>
      <c r="J64" s="44">
        <v>1.0009999999999999</v>
      </c>
      <c r="K64" s="44">
        <v>2.7E-2</v>
      </c>
      <c r="L64" s="44">
        <v>0.69699999999999995</v>
      </c>
      <c r="M64" s="65"/>
      <c r="N64" s="44">
        <v>1.9809999999999999</v>
      </c>
    </row>
    <row r="65" spans="7:14">
      <c r="G65" s="41" t="s">
        <v>31</v>
      </c>
      <c r="H65" s="65"/>
      <c r="I65" s="42">
        <v>60.047000000000011</v>
      </c>
      <c r="J65" s="42">
        <v>58.906000000000006</v>
      </c>
      <c r="K65" s="42">
        <v>58.052999999999997</v>
      </c>
      <c r="L65" s="42">
        <v>62.25500000000001</v>
      </c>
      <c r="M65" s="65"/>
      <c r="N65" s="42">
        <v>239.26100000000002</v>
      </c>
    </row>
    <row r="66" spans="7:14">
      <c r="G66" s="41"/>
      <c r="H66" s="65"/>
      <c r="I66" s="49"/>
      <c r="J66" s="49"/>
      <c r="K66" s="49"/>
      <c r="L66" s="49"/>
      <c r="M66" s="65"/>
      <c r="N66" s="49"/>
    </row>
    <row r="67" spans="7:14">
      <c r="G67" s="41"/>
      <c r="H67" s="69"/>
      <c r="I67" s="49"/>
      <c r="J67" s="49"/>
      <c r="K67" s="49"/>
      <c r="L67" s="49"/>
      <c r="M67" s="69"/>
      <c r="N67" s="49"/>
    </row>
    <row r="68" spans="7:14">
      <c r="G68" s="50" t="s">
        <v>32</v>
      </c>
      <c r="I68" s="34"/>
      <c r="J68" s="34"/>
      <c r="K68" s="34"/>
      <c r="L68" s="34"/>
      <c r="N68" s="34"/>
    </row>
    <row r="69" spans="7:14">
      <c r="G69" s="41" t="s">
        <v>33</v>
      </c>
      <c r="I69" s="42">
        <v>139.39099999999999</v>
      </c>
      <c r="J69" s="42">
        <v>148.80099999999999</v>
      </c>
      <c r="K69" s="42">
        <v>126.291</v>
      </c>
      <c r="L69" s="42">
        <v>150.607</v>
      </c>
      <c r="N69" s="42">
        <v>565.09</v>
      </c>
    </row>
    <row r="70" spans="7:14">
      <c r="G70" s="43" t="s">
        <v>34</v>
      </c>
      <c r="H70" s="69"/>
      <c r="I70" s="44">
        <v>1.45</v>
      </c>
      <c r="J70" s="44">
        <v>1.7030000000000001</v>
      </c>
      <c r="K70" s="44">
        <v>1.1890000000000001</v>
      </c>
      <c r="L70" s="44">
        <v>7.9180000000000001</v>
      </c>
      <c r="M70" s="69"/>
      <c r="N70" s="44">
        <v>12.260000000000002</v>
      </c>
    </row>
    <row r="71" spans="7:14">
      <c r="G71" s="41" t="s">
        <v>35</v>
      </c>
      <c r="H71" s="71"/>
      <c r="I71" s="84">
        <v>137.941</v>
      </c>
      <c r="J71" s="84">
        <v>147.09799999999998</v>
      </c>
      <c r="K71" s="84">
        <v>125.102</v>
      </c>
      <c r="L71" s="84">
        <v>142.68899999999999</v>
      </c>
      <c r="M71" s="71"/>
      <c r="N71" s="84">
        <v>552.83000000000004</v>
      </c>
    </row>
    <row r="72" spans="7:14">
      <c r="G72" s="45"/>
      <c r="H72" s="71"/>
      <c r="I72" s="46"/>
      <c r="J72" s="46"/>
      <c r="K72" s="46"/>
      <c r="L72" s="46"/>
      <c r="M72" s="71"/>
      <c r="N72" s="46"/>
    </row>
    <row r="73" spans="7:14">
      <c r="G73" s="43" t="s">
        <v>36</v>
      </c>
      <c r="H73" s="84"/>
      <c r="I73" s="48">
        <v>6.2080000000000002</v>
      </c>
      <c r="J73" s="48">
        <v>6.2469999999999999</v>
      </c>
      <c r="K73" s="48">
        <v>6.2060000000000004</v>
      </c>
      <c r="L73" s="48">
        <v>6.22</v>
      </c>
      <c r="M73" s="84"/>
      <c r="N73" s="48">
        <v>24.881</v>
      </c>
    </row>
    <row r="74" spans="7:14">
      <c r="G74" s="43" t="s">
        <v>28</v>
      </c>
      <c r="I74" s="48">
        <v>14.45</v>
      </c>
      <c r="J74" s="48">
        <v>17.690000000000001</v>
      </c>
      <c r="K74" s="48">
        <v>15.009</v>
      </c>
      <c r="L74" s="48">
        <v>16.169</v>
      </c>
      <c r="N74" s="48">
        <v>63.317999999999998</v>
      </c>
    </row>
    <row r="75" spans="7:14">
      <c r="G75" s="43" t="s">
        <v>29</v>
      </c>
      <c r="H75" s="71"/>
      <c r="I75" s="48">
        <v>7.7590000000000003</v>
      </c>
      <c r="J75" s="48">
        <v>-1.8049999999999999</v>
      </c>
      <c r="K75" s="48">
        <v>-0.187</v>
      </c>
      <c r="L75" s="48">
        <v>3.8540000000000001</v>
      </c>
      <c r="M75" s="71"/>
      <c r="N75" s="48">
        <v>9.6210000000000004</v>
      </c>
    </row>
    <row r="76" spans="7:14">
      <c r="G76" s="43" t="s">
        <v>30</v>
      </c>
      <c r="H76" s="71"/>
      <c r="I76" s="48">
        <v>1.1419999999999999</v>
      </c>
      <c r="J76" s="48">
        <v>2.0299999999999998</v>
      </c>
      <c r="K76" s="48">
        <v>0.48099999999999998</v>
      </c>
      <c r="L76" s="48">
        <v>0.74</v>
      </c>
      <c r="M76" s="71"/>
      <c r="N76" s="48">
        <v>4.3929999999999998</v>
      </c>
    </row>
    <row r="77" spans="7:14">
      <c r="G77" s="43" t="s">
        <v>37</v>
      </c>
      <c r="H77" s="71"/>
      <c r="I77" s="48">
        <v>0.28799999999999998</v>
      </c>
      <c r="J77" s="48">
        <v>4.6840000000000002</v>
      </c>
      <c r="K77" s="48">
        <v>0.08</v>
      </c>
      <c r="L77" s="48">
        <v>0.122</v>
      </c>
      <c r="M77" s="71"/>
      <c r="N77" s="48">
        <v>5.1740000000000004</v>
      </c>
    </row>
    <row r="78" spans="7:14">
      <c r="G78" s="43" t="s">
        <v>38</v>
      </c>
      <c r="H78" s="71"/>
      <c r="I78" s="48">
        <v>2.7789999999999999</v>
      </c>
      <c r="J78" s="48">
        <v>13.541</v>
      </c>
      <c r="K78" s="48">
        <v>1.9339999999999999</v>
      </c>
      <c r="L78" s="48">
        <v>1.389</v>
      </c>
      <c r="M78" s="71"/>
      <c r="N78" s="48">
        <v>19.643000000000001</v>
      </c>
    </row>
    <row r="79" spans="7:14">
      <c r="G79" s="43" t="s">
        <v>39</v>
      </c>
      <c r="H79" s="71"/>
      <c r="I79" s="44">
        <v>0.17499999999999999</v>
      </c>
      <c r="J79" s="44">
        <v>0.40100000000000002</v>
      </c>
      <c r="K79" s="44">
        <v>0.24099999999999999</v>
      </c>
      <c r="L79" s="44">
        <v>0.17799999999999999</v>
      </c>
      <c r="M79" s="71"/>
      <c r="N79" s="44">
        <v>0.99500000000000011</v>
      </c>
    </row>
    <row r="80" spans="7:14">
      <c r="G80" s="41" t="s">
        <v>40</v>
      </c>
      <c r="H80" s="71"/>
      <c r="I80" s="42">
        <v>105.14</v>
      </c>
      <c r="J80" s="42">
        <v>104.30999999999997</v>
      </c>
      <c r="K80" s="42">
        <v>101.33800000000001</v>
      </c>
      <c r="L80" s="42">
        <v>114.017</v>
      </c>
      <c r="M80" s="71"/>
      <c r="N80" s="42">
        <v>424.80500000000006</v>
      </c>
    </row>
  </sheetData>
  <mergeCells count="1">
    <mergeCell ref="I44:L4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A882C0C390684D87D5243A2B78946A" ma:contentTypeVersion="6" ma:contentTypeDescription="Create a new document." ma:contentTypeScope="" ma:versionID="1d3858ff54fd33814c738c16dc5b5601">
  <xsd:schema xmlns:xsd="http://www.w3.org/2001/XMLSchema" xmlns:xs="http://www.w3.org/2001/XMLSchema" xmlns:p="http://schemas.microsoft.com/office/2006/metadata/properties" xmlns:ns2="d407aa25-4627-4000-a98e-64b34ff8b5da" xmlns:ns3="7b20869c-b514-4b89-9e09-969949176dab" targetNamespace="http://schemas.microsoft.com/office/2006/metadata/properties" ma:root="true" ma:fieldsID="6d137ab891e7c49bc02387996bc91df2" ns2:_="" ns3:_="">
    <xsd:import namespace="d407aa25-4627-4000-a98e-64b34ff8b5da"/>
    <xsd:import namespace="7b20869c-b514-4b89-9e09-969949176d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7aa25-4627-4000-a98e-64b34ff8b5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20869c-b514-4b89-9e09-969949176d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025FB0-8DCC-4958-AE4C-8B6BF3A10384}">
  <ds:schemaRefs>
    <ds:schemaRef ds:uri="7b20869c-b514-4b89-9e09-969949176dab"/>
    <ds:schemaRef ds:uri="http://purl.org/dc/dcmitype/"/>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d407aa25-4627-4000-a98e-64b34ff8b5da"/>
    <ds:schemaRef ds:uri="http://schemas.microsoft.com/office/2006/metadata/properties"/>
  </ds:schemaRefs>
</ds:datastoreItem>
</file>

<file path=customXml/itemProps2.xml><?xml version="1.0" encoding="utf-8"?>
<ds:datastoreItem xmlns:ds="http://schemas.openxmlformats.org/officeDocument/2006/customXml" ds:itemID="{4FF8398F-1970-4531-807E-94DFF47DCC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7aa25-4627-4000-a98e-64b34ff8b5da"/>
    <ds:schemaRef ds:uri="7b20869c-b514-4b89-9e09-969949176d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16E19C-3B75-43AC-81A8-5BB6BF0FF6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ARR</vt:lpstr>
      <vt:lpstr>Cash Generation &amp; Contribution</vt:lpstr>
      <vt:lpstr>Free Cash Flow </vt:lpstr>
      <vt:lpstr>Reconciliations ---&gt;</vt:lpstr>
      <vt:lpstr>Gross Profit</vt:lpstr>
      <vt:lpstr>Operating Expenses</vt:lpstr>
      <vt:lpstr>Supplemental Info</vt:lpstr>
      <vt:lpstr>ARR!Print_Area</vt:lpstr>
      <vt:lpstr>'Gross Profit'!Print_Area</vt:lpstr>
      <vt:lpstr>'Operating Expenses'!Print_Area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Becker, Keri</dc:creator>
  <cp:keywords/>
  <dc:description/>
  <cp:lastModifiedBy>Frankel, Matthew</cp:lastModifiedBy>
  <cp:revision/>
  <dcterms:created xsi:type="dcterms:W3CDTF">2021-05-20T20:02:08Z</dcterms:created>
  <dcterms:modified xsi:type="dcterms:W3CDTF">2025-09-02T14:11:56Z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0x010100A6A882C0C390684D87D5243A2B78946A</vt:lpwstr>
  </property>
  <property fmtid="{D5CDD505-2E9C-101B-9397-08002B2CF9AE}" pid="5" name="Order">
    <vt:r8>6365200</vt:r8>
  </property>
</Properties>
</file>