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6/"/>
    </mc:Choice>
  </mc:AlternateContent>
  <xr:revisionPtr revIDLastSave="0" documentId="8_{7B6DE4C0-34A8-4C03-854E-8C607D1B0D12}" xr6:coauthVersionLast="47" xr6:coauthVersionMax="47" xr10:uidLastSave="{00000000-0000-0000-0000-000000000000}"/>
  <bookViews>
    <workbookView xWindow="86280" yWindow="9555" windowWidth="29040" windowHeight="15720" tabRatio="951" xr2:uid="{0D4002E5-4B8A-4A75-A860-78F6C0111ACB}"/>
  </bookViews>
  <sheets>
    <sheet name="ARR" sheetId="18" r:id="rId1"/>
    <sheet name="Cash Generation &amp; Contribution" sheetId="19" r:id="rId2"/>
    <sheet name="Free Cash Flow " sheetId="24" r:id="rId3"/>
    <sheet name="Reconciliations ---&gt;" sheetId="28" r:id="rId4"/>
    <sheet name="Gross Profit" sheetId="26" r:id="rId5"/>
    <sheet name="Operating Expenses" sheetId="27" r:id="rId6"/>
    <sheet name="Supplemental Info" sheetId="29" r:id="rId7"/>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45329.8577430556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ARR!$A$1:$F$13</definedName>
    <definedName name="_xlnm.Print_Area" localSheetId="4">'Gross Profit'!$A$1:$A$25</definedName>
    <definedName name="_xlnm.Print_Area" localSheetId="5">'Operating Expenses'!$A$1:$A$34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7" l="1"/>
  <c r="O7" i="27"/>
  <c r="H10" i="27"/>
  <c r="H15" i="27" s="1"/>
  <c r="O10" i="27"/>
  <c r="O15" i="27" s="1"/>
  <c r="H11" i="27"/>
  <c r="O11" i="27"/>
  <c r="H12" i="27"/>
  <c r="O12" i="27"/>
  <c r="H13" i="27"/>
  <c r="O13" i="27"/>
  <c r="H14" i="27"/>
  <c r="O14" i="27"/>
  <c r="C15" i="27"/>
  <c r="D15" i="27"/>
  <c r="E15" i="27"/>
  <c r="F15" i="27"/>
  <c r="J15" i="27"/>
  <c r="K15" i="27"/>
  <c r="L15" i="27"/>
  <c r="M15" i="27"/>
  <c r="Q15" i="27"/>
  <c r="H20" i="27"/>
  <c r="O20" i="27"/>
  <c r="O30" i="27" s="1"/>
  <c r="H23" i="27"/>
  <c r="H30" i="27" s="1"/>
  <c r="O23" i="27"/>
  <c r="H24" i="27"/>
  <c r="O24" i="27"/>
  <c r="H25" i="27"/>
  <c r="O25" i="27"/>
  <c r="H26" i="27"/>
  <c r="O26" i="27"/>
  <c r="H27" i="27"/>
  <c r="O27" i="27"/>
  <c r="H28" i="27"/>
  <c r="O28" i="27"/>
  <c r="H29" i="27"/>
  <c r="O29" i="27"/>
  <c r="C30" i="27"/>
  <c r="D30" i="27"/>
  <c r="E30" i="27"/>
  <c r="F30" i="27"/>
  <c r="J30" i="27"/>
  <c r="K30" i="27"/>
  <c r="L30" i="27"/>
  <c r="M30" i="27"/>
  <c r="Q30" i="27"/>
  <c r="H7" i="26"/>
  <c r="O7" i="26"/>
  <c r="H9" i="26"/>
  <c r="O9" i="26"/>
  <c r="C10" i="26"/>
  <c r="C11" i="26" s="1"/>
  <c r="D10" i="26"/>
  <c r="D11" i="26" s="1"/>
  <c r="E10" i="26"/>
  <c r="E11" i="26" s="1"/>
  <c r="F10" i="26"/>
  <c r="F11" i="26" s="1"/>
  <c r="H10" i="26"/>
  <c r="J10" i="26"/>
  <c r="O10" i="26" s="1"/>
  <c r="K10" i="26"/>
  <c r="K11" i="26" s="1"/>
  <c r="L10" i="26"/>
  <c r="L11" i="26" s="1"/>
  <c r="M10" i="26"/>
  <c r="M11" i="26"/>
  <c r="H12" i="26"/>
  <c r="O12" i="26"/>
  <c r="M13" i="26"/>
  <c r="M15" i="26" s="1"/>
  <c r="Q13" i="26"/>
  <c r="Q15" i="26"/>
  <c r="Q22" i="26" s="1"/>
  <c r="H17" i="26"/>
  <c r="O17" i="26"/>
  <c r="H18" i="26"/>
  <c r="O18" i="26"/>
  <c r="H19" i="26"/>
  <c r="O19" i="26"/>
  <c r="H20" i="26"/>
  <c r="O20" i="26"/>
  <c r="H21" i="26"/>
  <c r="O21" i="26"/>
  <c r="F7" i="24"/>
  <c r="G7" i="24"/>
  <c r="H7" i="24"/>
  <c r="J7" i="24"/>
  <c r="F8" i="24"/>
  <c r="G8" i="24"/>
  <c r="H8" i="24" s="1"/>
  <c r="F9" i="24"/>
  <c r="G9" i="24"/>
  <c r="H9" i="24"/>
  <c r="J9" i="24"/>
  <c r="C10" i="24"/>
  <c r="E10" i="24"/>
  <c r="F10" i="24"/>
  <c r="G10" i="24"/>
  <c r="L10" i="24"/>
  <c r="C9" i="19"/>
  <c r="E9" i="19"/>
  <c r="C11" i="19"/>
  <c r="E11" i="19"/>
  <c r="H5" i="18"/>
  <c r="O5" i="18"/>
  <c r="O6" i="18" s="1"/>
  <c r="J6" i="18"/>
  <c r="K6" i="18"/>
  <c r="L6" i="18"/>
  <c r="M6" i="18"/>
  <c r="Q6" i="18"/>
  <c r="H8" i="18"/>
  <c r="O8" i="18"/>
  <c r="J9" i="18"/>
  <c r="K9" i="18"/>
  <c r="L9" i="18"/>
  <c r="M9" i="18"/>
  <c r="O9" i="18"/>
  <c r="Q9" i="18"/>
  <c r="C11" i="18"/>
  <c r="J12" i="18" s="1"/>
  <c r="D11" i="18"/>
  <c r="E11" i="18"/>
  <c r="F11" i="18"/>
  <c r="H11" i="18"/>
  <c r="J11" i="18"/>
  <c r="K11" i="18"/>
  <c r="L11" i="18"/>
  <c r="L12" i="18" s="1"/>
  <c r="M11" i="18"/>
  <c r="O11" i="18"/>
  <c r="O12" i="18" s="1"/>
  <c r="Q11" i="18"/>
  <c r="Q12" i="18" s="1"/>
  <c r="K12" i="18"/>
  <c r="M12" i="18"/>
  <c r="J8" i="24" l="1"/>
  <c r="H10" i="24"/>
  <c r="J10" i="24"/>
  <c r="M16" i="26"/>
  <c r="M22" i="26"/>
  <c r="H11" i="26"/>
  <c r="H13" i="26" s="1"/>
  <c r="H15" i="26" s="1"/>
  <c r="Q16" i="26"/>
  <c r="L13" i="26"/>
  <c r="L15" i="26" s="1"/>
  <c r="K13" i="26"/>
  <c r="K15" i="26" s="1"/>
  <c r="J11" i="26"/>
  <c r="O11" i="26" s="1"/>
  <c r="O13" i="26" s="1"/>
  <c r="O15" i="26" s="1"/>
  <c r="F13" i="26"/>
  <c r="F15" i="26" s="1"/>
  <c r="E13" i="26"/>
  <c r="E15" i="26" s="1"/>
  <c r="D13" i="26"/>
  <c r="D15" i="26" s="1"/>
  <c r="C13" i="26"/>
  <c r="C15" i="26" s="1"/>
  <c r="O16" i="26" l="1"/>
  <c r="O22" i="26"/>
  <c r="H16" i="26"/>
  <c r="H22" i="26"/>
  <c r="L22" i="26"/>
  <c r="L16" i="26"/>
  <c r="C16" i="26"/>
  <c r="C22" i="26"/>
  <c r="D16" i="26"/>
  <c r="D22" i="26"/>
  <c r="E16" i="26"/>
  <c r="E22" i="26"/>
  <c r="F22" i="26"/>
  <c r="F16" i="26"/>
  <c r="J13" i="26"/>
  <c r="J15" i="26" s="1"/>
  <c r="K22" i="26"/>
  <c r="K16" i="26"/>
  <c r="J22" i="26" l="1"/>
  <c r="J16" i="26"/>
</calcChain>
</file>

<file path=xl/sharedStrings.xml><?xml version="1.0" encoding="utf-8"?>
<sst xmlns="http://schemas.openxmlformats.org/spreadsheetml/2006/main" count="179" uniqueCount="107">
  <si>
    <t xml:space="preserve">    </t>
  </si>
  <si>
    <t>Three Months Ended</t>
  </si>
  <si>
    <t>Year Ended</t>
  </si>
  <si>
    <t>4/30/2023</t>
  </si>
  <si>
    <t>($ in millions)</t>
  </si>
  <si>
    <t>Cash Generation</t>
  </si>
  <si>
    <r>
      <t>Subscription ARR</t>
    </r>
    <r>
      <rPr>
        <b/>
        <vertAlign val="superscript"/>
        <sz val="13"/>
        <rFont val="Arial"/>
        <family val="2"/>
      </rPr>
      <t>(1)</t>
    </r>
  </si>
  <si>
    <r>
      <t>Growth YoY</t>
    </r>
    <r>
      <rPr>
        <b/>
        <i/>
        <vertAlign val="superscript"/>
        <sz val="13"/>
        <rFont val="Arial"/>
        <family val="2"/>
      </rPr>
      <t>(1)</t>
    </r>
  </si>
  <si>
    <r>
      <t xml:space="preserve">  Subscription ARR</t>
    </r>
    <r>
      <rPr>
        <b/>
        <vertAlign val="superscript"/>
        <sz val="13"/>
        <rFont val="Arial"/>
        <family val="2"/>
      </rPr>
      <t>(1)</t>
    </r>
  </si>
  <si>
    <t xml:space="preserve">  Less: Cost of Revenue and Operating Expenses (1) (2)</t>
  </si>
  <si>
    <t>(1) Adjusted for the quality managed services divestiture, which closed January 31, 2024.</t>
  </si>
  <si>
    <t>Cash Contribution</t>
  </si>
  <si>
    <t>Less: purchases of property and equipment</t>
  </si>
  <si>
    <t>Less: cash paid for capitalized software development costs</t>
  </si>
  <si>
    <t>7/31/2023</t>
  </si>
  <si>
    <t>10/31/2023</t>
  </si>
  <si>
    <t>1/31/2024</t>
  </si>
  <si>
    <t>Revenue</t>
  </si>
  <si>
    <t>Total GAAP revenue</t>
  </si>
  <si>
    <t>Revenue from divested offering</t>
  </si>
  <si>
    <t>Total GAAP revenue without divested offering</t>
  </si>
  <si>
    <t>Total non-GAAP revenue</t>
  </si>
  <si>
    <t>Total non-GAAP revenue without divested offering</t>
  </si>
  <si>
    <t>Cost of Revenue</t>
  </si>
  <si>
    <t>Total GAAP cost of revenue</t>
  </si>
  <si>
    <t>Cost of revenue from divested offering</t>
  </si>
  <si>
    <t>Total GAAP cost of revenue without divested offering</t>
  </si>
  <si>
    <t>Amortization of acquired technology</t>
  </si>
  <si>
    <t>Stock-based compensation expenses</t>
  </si>
  <si>
    <t>Acquisition and divestitures expenses (benefit), net</t>
  </si>
  <si>
    <t>Restructuring expenses</t>
  </si>
  <si>
    <t>Total non-GAAP cost of revenue without divested offering</t>
  </si>
  <si>
    <t>Operating Expenses</t>
  </si>
  <si>
    <t>Total GAAP operating expenses</t>
  </si>
  <si>
    <t>Operating expenses from divested offering</t>
  </si>
  <si>
    <t>Total GAAP operating expenses without divested offering</t>
  </si>
  <si>
    <t>Amortization of other acquired intangible assets</t>
  </si>
  <si>
    <t>Accelerated lease costs</t>
  </si>
  <si>
    <t>IT facilities and infrastructure realignment</t>
  </si>
  <si>
    <t>Other adjustments</t>
  </si>
  <si>
    <t>Total non-GAAP operating expenses without divested offering</t>
  </si>
  <si>
    <t>Gross Profit</t>
  </si>
  <si>
    <t>4/30/2024</t>
  </si>
  <si>
    <t>7/31/2024</t>
  </si>
  <si>
    <t>10/31/2024</t>
  </si>
  <si>
    <t>1/31/2025</t>
  </si>
  <si>
    <t>Gross Profit and Gross Margin</t>
  </si>
  <si>
    <t>Recurring costs</t>
  </si>
  <si>
    <t>Nonrecurring perpetual costs</t>
  </si>
  <si>
    <t>Nonrecurring professional services and other costs</t>
  </si>
  <si>
    <t>GAAP gross profit</t>
  </si>
  <si>
    <t xml:space="preserve">    GAAP gross margin</t>
  </si>
  <si>
    <t>Revenue adjustments</t>
  </si>
  <si>
    <t>Restructuring expenses (benefit)</t>
  </si>
  <si>
    <t>Non-GAAP gross profit</t>
  </si>
  <si>
    <t xml:space="preserve">    Non-GAAP gross margin</t>
  </si>
  <si>
    <t>Research and Development, net</t>
  </si>
  <si>
    <t>GAAP research and development, net</t>
  </si>
  <si>
    <t xml:space="preserve">     as a % of GAAP revenue</t>
  </si>
  <si>
    <t>Non-GAAP research and development, net</t>
  </si>
  <si>
    <t xml:space="preserve">     as a % of non-GAAP revenue</t>
  </si>
  <si>
    <t>Selling, General and Administrative expenses</t>
  </si>
  <si>
    <t>GAAP selling, general and administrative expenses</t>
  </si>
  <si>
    <t>Non-GAAP selling, general and administrative expenses</t>
  </si>
  <si>
    <t>Acquisition and divestitures expenses, net</t>
  </si>
  <si>
    <t>Separation expenses (1)</t>
  </si>
  <si>
    <t>Acquisition and divestitures expenses (benefit), net  (2)</t>
  </si>
  <si>
    <t>(1) Effective February 1, 2024, separation expenses are immaterial and therefore included in Other adjustments.</t>
  </si>
  <si>
    <t>(2) For the three months and year ended January 31, 2024, acquisition and divestitures expenses (benefit), net included a loss on the sale of our manual quality managed services business of $9.7 million, which was recorded as part of selling, general, and administrative expenses in our consolidated statement of operations. Today, our platform includes an AI-powered solution for automating the quality process. We expect our customers to adopt AI over time and believe that a people-centric managed services offering is no longer core to our offering.</t>
  </si>
  <si>
    <t>(2) Reconciliations of GAAP to Non-GAAP for Cost of Revenue and Operating Expenses can be located on the "Reconciliations" section of this workbook.</t>
  </si>
  <si>
    <t>Free Cash Flow</t>
  </si>
  <si>
    <t>Supplemental Information About Non-GAAP Financial Measures and Operating Metrics</t>
  </si>
  <si>
    <t>Non-GAAP Financial Measures</t>
  </si>
  <si>
    <t xml:space="preserve">The following tables include reconciliations of certain financial measures not prepared in accordance with Generally Accepted Accounting Principles (“GAAP”), consisting of non-GAAP revenue, non-GAAP revenue from divested manual quality managed services, non-GAAP cost of revenue from divested manual quality managed services, non-GAAP gross profit and gross margins, non-GAAP research and development, net, non-GAAP selling, general and administrative expenses, non-GAAP operating expenses from divested manual quality managed services and free cash flow. The tables above include a reconciliation of each non-GAAP financial measure for completed periods presented in this press release to the most directly comparable GAAP financial measure. </t>
  </si>
  <si>
    <t>We believe these non-GAAP financial measures, used in conjunction with the corresponding GAAP measures, provide investors with useful supplemental information about the financial performance of our business by:</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</si>
  <si>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</si>
  <si>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</si>
  <si>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</si>
  <si>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t>We also make these non-GAAP financial measures available because a number of our investors have informed us that they find this supplemental information useful.</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</si>
  <si>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</si>
  <si>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Our non-GAAP financial measures are calculated by making the following adjustments to our GAAP financial measures:</t>
  </si>
  <si>
    <t xml:space="preserve">   •Revenue adjustments. 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</si>
  <si>
    <t xml:space="preserve">   •Amortization of acquired technology and other acquired intangible assets.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</si>
  <si>
    <t xml:space="preserve">   •Stock-based compensation expenses. 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</si>
  <si>
    <t xml:space="preserve">   •Acquisition and divestitures expenses (benefit), net. 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In connection with divestiture activity, we exclude the gain or loss on divestiture as well as any expenses incurred, including legal, accounting, and other professional fees. We exclude these expenses from our non-GAAP financial measures because they are unpredictable, can vary based on the size and complexity of each transaction, and are unrelated to our continuing operations or to the continuing operations of the acquired businesses.</t>
  </si>
  <si>
    <t xml:space="preserve">   •Restructuring expenses (benefit). 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</si>
  <si>
    <t xml:space="preserve">   •Separation expenses (benefit). 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  Separation expenses incurred through January 31, 2024 are recorded under this category in this document.  Effective February 1, 2024, these expenses are included in Impairment charges and other adjustments, as defined below.
</t>
  </si>
  <si>
    <t xml:space="preserve">   •Accelerated lease costs. 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</si>
  <si>
    <t xml:space="preserve">   •IT facilities and infrastructure realignment. 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</si>
  <si>
    <t xml:space="preserve">   •Impairment charges and other adjustments. 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Effective February 1, 2024, separation expenses excluded from our non-GAAP financial measures are included in this category within this document.  We exclude from our non-GAAP financial measures separation expenses incurred in connection with the spin-off of our former Cyber Intelligence Solutions business,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Separation expenses also include incremental cash income taxes related to the reorganization of legal entities and operations in order to effect the separation and other expense adjustments associated with a tax-related indemnification asset as a result of the spin-off. These costs were incremental to our normal operating expenses and were incurred solely as a result of the separation transaction. Separation expenses (benefit) incurred through January 31, 2024 are included in the Separation expenses (benefit) category of this document, as defined above.</t>
  </si>
  <si>
    <t>Definition of Certain Non-GAAP Financial Metrics</t>
  </si>
  <si>
    <t>Free Cash Flow is a non-GAAP measure defined as GAAP cash provided by operating activities less our capital expenditures, which include purchases of property and equipment and capitalized software development costs.</t>
  </si>
  <si>
    <t>Operating Metrics</t>
  </si>
  <si>
    <t>Cash Generation represents the sum of ARR and nonrecurring perpetual and nonrecurring professional services and other revenue and provides an estimate of the cash-producing potential of our entire business.</t>
  </si>
  <si>
    <t xml:space="preserve">Divestiture </t>
  </si>
  <si>
    <t>Cash Generation and Cash Contribution</t>
  </si>
  <si>
    <t xml:space="preserve">  Nonrecurring Perpetual and Professional Services and Other Revenue</t>
  </si>
  <si>
    <t>4/30/2025</t>
  </si>
  <si>
    <t>Net cash provided by operating activities</t>
  </si>
  <si>
    <t xml:space="preserve">Other adjustments </t>
  </si>
  <si>
    <t>ARR</t>
  </si>
  <si>
    <t>Cash Contribution is defined as Cash Generation less non-GAAP cost of revenue and operating expenses and helps assess how effectively we convert our revenue streams into cash.</t>
  </si>
  <si>
    <r>
      <t>Non-AI ARR</t>
    </r>
    <r>
      <rPr>
        <b/>
        <vertAlign val="superscript"/>
        <sz val="13"/>
        <rFont val="Arial"/>
        <family val="2"/>
      </rPr>
      <t>(1)</t>
    </r>
  </si>
  <si>
    <r>
      <t>AI ARR</t>
    </r>
    <r>
      <rPr>
        <b/>
        <vertAlign val="superscript"/>
        <sz val="13"/>
        <rFont val="Arial"/>
        <family val="2"/>
      </rPr>
      <t>(1)</t>
    </r>
  </si>
  <si>
    <t>Non-AI Annual Recurring Revenue (Non-AI ARR) is the portion of ARR that is derived from our SaaS, Support, and Optional Managed Services contracts that do not include AI-functionality, and represents the annualized quarterly run rate of such active or signed agreements as of the end of a period.</t>
  </si>
  <si>
    <t>Subscription Annual Recurring Revenue (ARR) represents the annualized quarterly run-rate value of our active or signed subscription agreements at the end of the period and is comprised of the ARR calculated for our SaaS, Support, and Optional Managed Services contracts. Under ASC Topic 606, Revenue from Contracts with Customers, we are required to recognize a significant portion of our Unbundled SaaS contracts at a point in time when the software is first made available to the customer, or at the beginning of the subscription term, despite the fact that our contracts typically call for billing these amounts annually or more frequently over the life of the subscription. This point-in-time recognition of a portion of our recurring revenue creates significant variability in the revenue recognized period to period based on the timing of the subscription start date and the subscription term and can create a significant difference between the timing of our revenue recognition and the actual customer billing under the contract. We use ARR to measure the underlying performance of our subscription-based contracts and mitigate the impact of this variability as ARR reduces fluctuations due to seasonality, contract term, and the sales mix of subscriptions. ARR should be viewed independently of revenue, and does not represent our revenue under ASC 606 on an annualized basis, as it is an operating metric that is impacted by contract start and end dates and renewal rates. ARR is not intended to be a replacement for forecasts of revenue and does not include revenue reported as nonrecurring revenue in our consolidated statement of operations. ARR does not have any standardized meaning and is therefore unlikely to be comparable to similarly titled measures presented by other companies. Investors should consider our ARR operating measure only in conjunction with our GAAP financial results.</t>
  </si>
  <si>
    <t>AI Annual Recurring Revenue (AI ARR) is the portion of ARR that is derived from solutions that include AI-functionality, and represents the annualized quarterly run-rate value of the associated active or signed SaaS agreements as of the end of a period.  At present, these AI solutions are hosted by Verint.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</si>
</sst>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quot;$&quot;* #,##0_);_(&quot;$&quot;* \(#,##0\);_(&quot;$&quot;* &quot;-&quot;??_);_(@_)"/>
    <numFmt numFmtId="170" formatCode="_(&quot;$&quot;* #,##0.000_);_(&quot;$&quot;* \(#,##0.000\);_(&quot;$&quot;* &quot;-&quot;??_);_(@_)"/>
    <numFmt numFmtId="171" formatCode="_(* #,##0.0_);_(* \(#,##0.0\);_(* &quot;-&quot;??_);_(@_)"/>
    <numFmt numFmtId="172" formatCode="_(* #,##0.000_);_(* \(#,##0.000\);_(* &quot;-&quot;??_);_(@_)"/>
    <numFmt numFmtId="173" formatCode="&quot;$&quot;#,##0.0_);\(&quot;$&quot;#,##0.0\)"/>
  </numFmts>
  <fonts count="3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b/>
      <sz val="10.5"/>
      <color theme="0"/>
      <name val="Arial"/>
      <family val="2"/>
    </font>
    <font>
      <b/>
      <sz val="13"/>
      <name val="Arial"/>
      <family val="2"/>
    </font>
    <font>
      <sz val="13"/>
      <name val="Arial"/>
      <family val="2"/>
    </font>
    <font>
      <sz val="11"/>
      <name val="Arial"/>
      <family val="2"/>
    </font>
    <font>
      <b/>
      <i/>
      <sz val="13"/>
      <name val="Arial"/>
      <family val="2"/>
    </font>
    <font>
      <i/>
      <sz val="13"/>
      <name val="Arial"/>
      <family val="2"/>
    </font>
    <font>
      <b/>
      <sz val="11"/>
      <color theme="1"/>
      <name val="Arial"/>
      <family val="2"/>
    </font>
    <font>
      <b/>
      <sz val="11"/>
      <name val="Arial"/>
      <family val="2"/>
    </font>
    <font>
      <sz val="10"/>
      <name val="Arial"/>
      <family val="2"/>
    </font>
    <font>
      <sz val="13"/>
      <color rgb="FF000000"/>
      <name val="Arial"/>
      <family val="2"/>
    </font>
    <font>
      <b/>
      <vertAlign val="superscript"/>
      <sz val="13"/>
      <name val="Arial"/>
      <family val="2"/>
    </font>
    <font>
      <b/>
      <i/>
      <vertAlign val="superscript"/>
      <sz val="13"/>
      <name val="Arial"/>
      <family val="2"/>
    </font>
    <font>
      <sz val="8"/>
      <color theme="1"/>
      <name val="Arial"/>
      <family val="2"/>
    </font>
    <font>
      <sz val="8"/>
      <name val="Arial"/>
      <family val="2"/>
    </font>
    <font>
      <b/>
      <u/>
      <sz val="13"/>
      <name val="Arial"/>
      <family val="2"/>
    </font>
    <font>
      <sz val="13"/>
      <color theme="1"/>
      <name val="Arial"/>
      <family val="2"/>
    </font>
    <font>
      <i/>
      <sz val="8"/>
      <color theme="1"/>
      <name val="Arial"/>
      <family val="2"/>
    </font>
    <font>
      <b/>
      <sz val="13"/>
      <color theme="1"/>
      <name val="Arial"/>
      <family val="2"/>
    </font>
    <font>
      <sz val="15"/>
      <name val="Arial"/>
      <family val="2"/>
    </font>
    <font>
      <b/>
      <sz val="14"/>
      <name val="Arial"/>
      <family val="2"/>
    </font>
    <font>
      <u/>
      <sz val="13"/>
      <color theme="1"/>
      <name val="Arial"/>
      <family val="2"/>
    </font>
    <font>
      <sz val="10"/>
      <color theme="1"/>
      <name val="Arial"/>
      <family val="2"/>
    </font>
    <font>
      <u/>
      <sz val="13"/>
      <name val="Arial"/>
      <family val="2"/>
    </font>
    <font>
      <sz val="13"/>
      <name val="Ariak"/>
    </font>
  </fonts>
  <fills count="6">
    <fill>
      <patternFill patternType="none"/>
    </fill>
    <fill>
      <patternFill patternType="gray125"/>
    </fill>
    <fill>
      <patternFill patternType="solid">
        <fgColor theme="0"/>
        <bgColor indexed="64"/>
      </patternFill>
    </fill>
    <fill>
      <patternFill patternType="solid">
        <fgColor rgb="FF0079FF"/>
        <bgColor indexed="64"/>
      </patternFill>
    </fill>
    <fill>
      <patternFill patternType="solid">
        <fgColor theme="0" tint="-0.14996795556505021"/>
        <bgColor indexed="64"/>
      </patternFill>
    </fill>
    <fill>
      <patternFill patternType="solid">
        <fgColor indexed="9"/>
        <bgColor indexed="64"/>
      </patternFill>
    </fill>
  </fills>
  <borders count="13">
    <border>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rgb="FF000000"/>
      </bottom>
      <diagonal/>
    </border>
    <border>
      <left/>
      <right/>
      <top/>
      <bottom style="thin">
        <color theme="0" tint="-0.34998626667073579"/>
      </bottom>
      <diagonal/>
    </border>
    <border>
      <left style="medium">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5" fillId="0" borderId="0"/>
    <xf numFmtId="43" fontId="15" fillId="0" borderId="0" applyFont="0" applyFill="0" applyBorder="0" applyAlignment="0" applyProtection="0"/>
    <xf numFmtId="44" fontId="15" fillId="0" borderId="0" applyFont="0" applyFill="0" applyBorder="0" applyAlignment="0" applyProtection="0"/>
    <xf numFmtId="0" fontId="15"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2" fillId="2" borderId="0" xfId="0" applyFont="1" applyFill="1" applyAlignment="1">
      <alignment horizontal="left"/>
    </xf>
    <xf numFmtId="0" fontId="3" fillId="2" borderId="0" xfId="0" applyFont="1" applyFill="1"/>
    <xf numFmtId="0" fontId="5" fillId="2" borderId="0" xfId="0" applyFont="1" applyFill="1"/>
    <xf numFmtId="164" fontId="9" fillId="2" borderId="3" xfId="0" applyNumberFormat="1" applyFont="1" applyFill="1" applyBorder="1" applyAlignment="1">
      <alignment horizontal="center" vertical="center" wrapText="1" readingOrder="1"/>
    </xf>
    <xf numFmtId="0" fontId="11" fillId="2" borderId="4" xfId="0" applyFont="1" applyFill="1" applyBorder="1" applyAlignment="1">
      <alignment horizontal="left" vertical="center" wrapText="1" readingOrder="1"/>
    </xf>
    <xf numFmtId="165" fontId="12" fillId="2" borderId="3" xfId="1" applyNumberFormat="1" applyFont="1" applyFill="1" applyBorder="1" applyAlignment="1">
      <alignment horizontal="center" vertical="center" wrapText="1" readingOrder="1"/>
    </xf>
    <xf numFmtId="0" fontId="8" fillId="2" borderId="4" xfId="0" applyFont="1" applyFill="1" applyBorder="1" applyAlignment="1">
      <alignment horizontal="left" vertical="center" wrapText="1" readingOrder="1"/>
    </xf>
    <xf numFmtId="0" fontId="13" fillId="2" borderId="0" xfId="0" applyFont="1" applyFill="1"/>
    <xf numFmtId="164" fontId="3" fillId="2" borderId="0" xfId="0" applyNumberFormat="1" applyFont="1" applyFill="1"/>
    <xf numFmtId="0" fontId="16" fillId="2" borderId="0" xfId="0" quotePrefix="1" applyFont="1" applyFill="1" applyAlignment="1">
      <alignment horizontal="left" vertical="top" wrapText="1" readingOrder="1"/>
    </xf>
    <xf numFmtId="0" fontId="5" fillId="2" borderId="0" xfId="0" applyFont="1" applyFill="1" applyAlignment="1">
      <alignment horizontal="center"/>
    </xf>
    <xf numFmtId="0" fontId="6" fillId="3" borderId="6" xfId="0" applyFont="1" applyFill="1" applyBorder="1" applyAlignment="1">
      <alignment horizontal="center" vertical="center" wrapText="1" readingOrder="1"/>
    </xf>
    <xf numFmtId="14" fontId="6" fillId="3" borderId="6" xfId="0" applyNumberFormat="1" applyFont="1" applyFill="1" applyBorder="1" applyAlignment="1">
      <alignment horizontal="center" vertical="center" wrapText="1" readingOrder="1"/>
    </xf>
    <xf numFmtId="14" fontId="6" fillId="3" borderId="5" xfId="0" applyNumberFormat="1" applyFont="1" applyFill="1" applyBorder="1" applyAlignment="1">
      <alignment horizontal="center" vertical="center" wrapText="1" readingOrder="1"/>
    </xf>
    <xf numFmtId="0" fontId="4" fillId="3" borderId="1" xfId="0" applyFont="1" applyFill="1" applyBorder="1" applyAlignment="1">
      <alignment horizontal="left" vertical="center" wrapText="1" readingOrder="1"/>
    </xf>
    <xf numFmtId="0" fontId="7" fillId="3" borderId="2" xfId="0" applyFont="1" applyFill="1" applyBorder="1" applyAlignment="1">
      <alignment horizontal="left" vertical="center" wrapText="1" readingOrder="1"/>
    </xf>
    <xf numFmtId="164" fontId="9" fillId="0" borderId="3" xfId="0" applyNumberFormat="1" applyFont="1" applyBorder="1" applyAlignment="1">
      <alignment horizontal="center" vertical="center" wrapText="1" readingOrder="1"/>
    </xf>
    <xf numFmtId="0" fontId="9" fillId="2" borderId="4" xfId="0" applyFont="1" applyFill="1" applyBorder="1" applyAlignment="1">
      <alignment horizontal="left" vertical="center" wrapText="1" readingOrder="1"/>
    </xf>
    <xf numFmtId="0" fontId="8" fillId="2" borderId="10" xfId="0" applyFont="1" applyFill="1" applyBorder="1" applyAlignment="1">
      <alignment horizontal="left" vertical="center" wrapText="1" readingOrder="1"/>
    </xf>
    <xf numFmtId="164" fontId="9" fillId="2" borderId="10" xfId="0" applyNumberFormat="1" applyFont="1" applyFill="1" applyBorder="1" applyAlignment="1">
      <alignment horizontal="center" vertical="center" wrapText="1" readingOrder="1"/>
    </xf>
    <xf numFmtId="0" fontId="8" fillId="4" borderId="4" xfId="0" applyFont="1" applyFill="1" applyBorder="1" applyAlignment="1">
      <alignment horizontal="left" vertical="center" wrapText="1" readingOrder="1"/>
    </xf>
    <xf numFmtId="164" fontId="9" fillId="4" borderId="3" xfId="0" applyNumberFormat="1" applyFont="1" applyFill="1" applyBorder="1" applyAlignment="1">
      <alignment horizontal="center" vertical="center" wrapText="1" readingOrder="1"/>
    </xf>
    <xf numFmtId="0" fontId="3" fillId="0" borderId="0" xfId="0" applyFont="1"/>
    <xf numFmtId="0" fontId="5" fillId="0" borderId="0" xfId="0" applyFont="1"/>
    <xf numFmtId="0" fontId="5" fillId="0" borderId="0" xfId="0" applyFont="1" applyAlignment="1">
      <alignment horizontal="center"/>
    </xf>
    <xf numFmtId="0" fontId="10" fillId="0" borderId="0" xfId="0" applyFont="1"/>
    <xf numFmtId="164" fontId="8" fillId="2" borderId="3" xfId="0" applyNumberFormat="1" applyFont="1" applyFill="1" applyBorder="1" applyAlignment="1">
      <alignment horizontal="center" vertical="center" wrapText="1" readingOrder="1"/>
    </xf>
    <xf numFmtId="0" fontId="10" fillId="2" borderId="0" xfId="0" applyFont="1" applyFill="1"/>
    <xf numFmtId="0" fontId="14" fillId="2" borderId="0" xfId="0" applyFont="1" applyFill="1"/>
    <xf numFmtId="164" fontId="9" fillId="2" borderId="0" xfId="0" applyNumberFormat="1" applyFont="1" applyFill="1" applyAlignment="1">
      <alignment horizontal="center" vertical="center" wrapText="1" readingOrder="1"/>
    </xf>
    <xf numFmtId="0" fontId="8" fillId="2" borderId="0" xfId="0" applyFont="1" applyFill="1" applyAlignment="1">
      <alignment horizontal="left" vertical="center" wrapText="1" readingOrder="1"/>
    </xf>
    <xf numFmtId="164" fontId="9" fillId="0" borderId="0" xfId="0" applyNumberFormat="1" applyFont="1" applyAlignment="1">
      <alignment horizontal="center" vertical="center" wrapText="1" readingOrder="1"/>
    </xf>
    <xf numFmtId="0" fontId="12" fillId="2" borderId="3" xfId="1" applyNumberFormat="1" applyFont="1" applyFill="1" applyBorder="1" applyAlignment="1">
      <alignment horizontal="center" vertical="center" wrapText="1" readingOrder="1"/>
    </xf>
    <xf numFmtId="0" fontId="19" fillId="2" borderId="0" xfId="0" applyFont="1" applyFill="1"/>
    <xf numFmtId="0" fontId="20" fillId="2" borderId="0" xfId="2" applyFont="1" applyFill="1"/>
    <xf numFmtId="0" fontId="6" fillId="3" borderId="0" xfId="2" applyFont="1" applyFill="1"/>
    <xf numFmtId="0" fontId="6" fillId="3" borderId="0" xfId="2" applyFont="1" applyFill="1" applyAlignment="1">
      <alignment horizontal="center" wrapText="1"/>
    </xf>
    <xf numFmtId="166" fontId="6" fillId="3" borderId="0" xfId="3" quotePrefix="1" applyNumberFormat="1" applyFont="1" applyFill="1" applyAlignment="1">
      <alignment horizontal="center" wrapText="1"/>
    </xf>
    <xf numFmtId="0" fontId="21" fillId="5" borderId="0" xfId="2" applyFont="1" applyFill="1" applyAlignment="1">
      <alignment wrapText="1"/>
    </xf>
    <xf numFmtId="0" fontId="22" fillId="2" borderId="0" xfId="0" applyFont="1" applyFill="1"/>
    <xf numFmtId="0" fontId="8" fillId="2" borderId="0" xfId="5" applyFont="1" applyFill="1"/>
    <xf numFmtId="167" fontId="8" fillId="2" borderId="0" xfId="4" applyNumberFormat="1" applyFont="1" applyFill="1"/>
    <xf numFmtId="0" fontId="9" fillId="2" borderId="0" xfId="5" applyFont="1" applyFill="1"/>
    <xf numFmtId="168" fontId="9" fillId="2" borderId="11" xfId="2" applyNumberFormat="1" applyFont="1" applyFill="1" applyBorder="1"/>
    <xf numFmtId="0" fontId="8" fillId="5" borderId="0" xfId="2" applyFont="1" applyFill="1" applyAlignment="1">
      <alignment wrapText="1"/>
    </xf>
    <xf numFmtId="169" fontId="9" fillId="2" borderId="0" xfId="2" applyNumberFormat="1" applyFont="1" applyFill="1"/>
    <xf numFmtId="167" fontId="22" fillId="2" borderId="0" xfId="0" applyNumberFormat="1" applyFont="1" applyFill="1"/>
    <xf numFmtId="168" fontId="9" fillId="2" borderId="0" xfId="2" applyNumberFormat="1" applyFont="1" applyFill="1"/>
    <xf numFmtId="170" fontId="8" fillId="2" borderId="0" xfId="4" applyNumberFormat="1" applyFont="1" applyFill="1"/>
    <xf numFmtId="0" fontId="21" fillId="2" borderId="0" xfId="5" applyFont="1" applyFill="1"/>
    <xf numFmtId="166" fontId="19" fillId="2" borderId="0" xfId="6" applyNumberFormat="1" applyFont="1" applyFill="1"/>
    <xf numFmtId="0" fontId="23" fillId="2" borderId="0" xfId="0" applyFont="1" applyFill="1"/>
    <xf numFmtId="0" fontId="6" fillId="2" borderId="0" xfId="2" applyFont="1" applyFill="1"/>
    <xf numFmtId="166" fontId="6" fillId="2" borderId="0" xfId="3" quotePrefix="1" applyNumberFormat="1" applyFont="1" applyFill="1" applyAlignment="1">
      <alignment horizontal="center" wrapText="1"/>
    </xf>
    <xf numFmtId="0" fontId="21" fillId="5" borderId="0" xfId="2" applyFont="1" applyFill="1"/>
    <xf numFmtId="0" fontId="24" fillId="2" borderId="0" xfId="0" applyFont="1" applyFill="1"/>
    <xf numFmtId="167" fontId="24" fillId="2" borderId="0" xfId="7" applyNumberFormat="1" applyFont="1" applyFill="1"/>
    <xf numFmtId="166" fontId="22" fillId="2" borderId="0" xfId="6" applyNumberFormat="1" applyFont="1" applyFill="1"/>
    <xf numFmtId="170" fontId="22" fillId="2" borderId="0" xfId="0" applyNumberFormat="1" applyFont="1" applyFill="1"/>
    <xf numFmtId="171" fontId="22" fillId="2" borderId="0" xfId="6" applyNumberFormat="1" applyFont="1" applyFill="1"/>
    <xf numFmtId="171" fontId="22" fillId="2" borderId="0" xfId="0" applyNumberFormat="1" applyFont="1" applyFill="1"/>
    <xf numFmtId="172" fontId="22" fillId="2" borderId="0" xfId="0" applyNumberFormat="1" applyFont="1" applyFill="1"/>
    <xf numFmtId="171" fontId="9" fillId="5" borderId="11" xfId="2" applyNumberFormat="1" applyFont="1" applyFill="1" applyBorder="1"/>
    <xf numFmtId="168" fontId="8" fillId="2" borderId="0" xfId="4" applyNumberFormat="1" applyFont="1" applyFill="1"/>
    <xf numFmtId="168" fontId="22" fillId="2" borderId="0" xfId="0" applyNumberFormat="1" applyFont="1" applyFill="1"/>
    <xf numFmtId="165" fontId="24" fillId="2" borderId="0" xfId="1" applyNumberFormat="1" applyFont="1" applyFill="1"/>
    <xf numFmtId="171" fontId="22" fillId="2" borderId="0" xfId="6" applyNumberFormat="1" applyFont="1" applyFill="1" applyAlignment="1">
      <alignment horizontal="center"/>
    </xf>
    <xf numFmtId="0" fontId="9" fillId="5" borderId="0" xfId="2" applyFont="1" applyFill="1"/>
    <xf numFmtId="167" fontId="19" fillId="2" borderId="0" xfId="0" applyNumberFormat="1" applyFont="1" applyFill="1"/>
    <xf numFmtId="168" fontId="9" fillId="5" borderId="11" xfId="2" applyNumberFormat="1" applyFont="1" applyFill="1" applyBorder="1"/>
    <xf numFmtId="168" fontId="19" fillId="2" borderId="0" xfId="0" applyNumberFormat="1" applyFont="1" applyFill="1"/>
    <xf numFmtId="0" fontId="8" fillId="5" borderId="0" xfId="2" applyFont="1" applyFill="1"/>
    <xf numFmtId="168" fontId="9" fillId="5" borderId="0" xfId="2" applyNumberFormat="1" applyFont="1" applyFill="1"/>
    <xf numFmtId="0" fontId="25" fillId="5" borderId="0" xfId="2" applyFont="1" applyFill="1" applyAlignment="1">
      <alignment wrapText="1"/>
    </xf>
    <xf numFmtId="165" fontId="8" fillId="2" borderId="0" xfId="1" applyNumberFormat="1" applyFont="1" applyFill="1"/>
    <xf numFmtId="168" fontId="9" fillId="2" borderId="0" xfId="4" applyNumberFormat="1" applyFont="1" applyFill="1"/>
    <xf numFmtId="0" fontId="9" fillId="2" borderId="0" xfId="2" applyFont="1" applyFill="1"/>
    <xf numFmtId="167" fontId="8" fillId="2" borderId="0" xfId="4" applyNumberFormat="1" applyFont="1" applyFill="1" applyAlignment="1">
      <alignment vertical="top"/>
    </xf>
    <xf numFmtId="10" fontId="8" fillId="2" borderId="0" xfId="1" applyNumberFormat="1" applyFont="1" applyFill="1"/>
    <xf numFmtId="0" fontId="22" fillId="2" borderId="0" xfId="0" applyFont="1" applyFill="1" applyAlignment="1">
      <alignment vertical="top"/>
    </xf>
    <xf numFmtId="0" fontId="19" fillId="0" borderId="0" xfId="0" applyFont="1"/>
    <xf numFmtId="0" fontId="16" fillId="2" borderId="0" xfId="0" applyFont="1" applyFill="1" applyAlignment="1">
      <alignment horizontal="left" vertical="top" wrapText="1" readingOrder="1"/>
    </xf>
    <xf numFmtId="0" fontId="22" fillId="2" borderId="0" xfId="0" applyFont="1" applyFill="1" applyAlignment="1">
      <alignment wrapText="1"/>
    </xf>
    <xf numFmtId="168" fontId="8" fillId="2" borderId="0" xfId="7" applyNumberFormat="1" applyFont="1" applyFill="1"/>
    <xf numFmtId="0" fontId="4" fillId="3" borderId="12"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26" fillId="2" borderId="0" xfId="0" applyFont="1" applyFill="1" applyAlignment="1">
      <alignment wrapText="1"/>
    </xf>
    <xf numFmtId="0" fontId="27" fillId="2" borderId="0" xfId="0" applyFont="1" applyFill="1"/>
    <xf numFmtId="0" fontId="9" fillId="2" borderId="0" xfId="0" applyFont="1" applyFill="1" applyAlignment="1">
      <alignment wrapText="1"/>
    </xf>
    <xf numFmtId="0" fontId="21" fillId="2" borderId="0" xfId="0" applyFont="1" applyFill="1" applyAlignment="1">
      <alignment wrapText="1"/>
    </xf>
    <xf numFmtId="0" fontId="9" fillId="2" borderId="0" xfId="0" applyFont="1" applyFill="1" applyAlignment="1">
      <alignment horizontal="left" vertical="center" wrapText="1" readingOrder="1"/>
    </xf>
    <xf numFmtId="0" fontId="28" fillId="0" borderId="0" xfId="0" applyFont="1" applyAlignment="1">
      <alignment vertical="center"/>
    </xf>
    <xf numFmtId="0" fontId="29" fillId="2" borderId="0" xfId="0" applyFont="1" applyFill="1" applyAlignment="1">
      <alignment horizontal="left" vertical="center" wrapText="1" readingOrder="1"/>
    </xf>
    <xf numFmtId="0" fontId="30" fillId="2" borderId="0" xfId="0" applyFont="1" applyFill="1" applyAlignment="1">
      <alignment horizontal="left" vertical="center" wrapText="1" readingOrder="1"/>
    </xf>
    <xf numFmtId="44" fontId="19" fillId="2" borderId="0" xfId="0" applyNumberFormat="1" applyFont="1" applyFill="1"/>
    <xf numFmtId="44" fontId="22" fillId="2" borderId="0" xfId="0" applyNumberFormat="1" applyFont="1" applyFill="1"/>
    <xf numFmtId="173" fontId="9" fillId="2" borderId="3" xfId="0" applyNumberFormat="1" applyFont="1" applyFill="1" applyBorder="1" applyAlignment="1">
      <alignment horizontal="center" vertical="center" wrapText="1" readingOrder="1"/>
    </xf>
    <xf numFmtId="173" fontId="10" fillId="2" borderId="0" xfId="0" applyNumberFormat="1" applyFont="1" applyFill="1"/>
    <xf numFmtId="173" fontId="8" fillId="2" borderId="3" xfId="0" applyNumberFormat="1" applyFont="1" applyFill="1" applyBorder="1" applyAlignment="1">
      <alignment horizontal="center" vertical="center" wrapText="1" readingOrder="1"/>
    </xf>
    <xf numFmtId="0" fontId="9" fillId="2" borderId="0" xfId="0" applyFont="1" applyFill="1" applyAlignment="1">
      <alignment vertical="center" wrapText="1"/>
    </xf>
    <xf numFmtId="0" fontId="6" fillId="3" borderId="7" xfId="0" applyFont="1" applyFill="1" applyBorder="1" applyAlignment="1">
      <alignment horizontal="center" vertical="center" wrapText="1" readingOrder="1"/>
    </xf>
    <xf numFmtId="0" fontId="6" fillId="3" borderId="9" xfId="0" applyFont="1" applyFill="1" applyBorder="1" applyAlignment="1">
      <alignment horizontal="center" vertical="center" wrapText="1" readingOrder="1"/>
    </xf>
    <xf numFmtId="0" fontId="6" fillId="3" borderId="8" xfId="0" applyFont="1" applyFill="1" applyBorder="1" applyAlignment="1">
      <alignment horizontal="center" vertical="center" wrapText="1" readingOrder="1"/>
    </xf>
    <xf numFmtId="0" fontId="0" fillId="0" borderId="8" xfId="0" applyBorder="1" applyAlignment="1">
      <alignment horizontal="center" vertical="center" wrapText="1" readingOrder="1"/>
    </xf>
    <xf numFmtId="0" fontId="6" fillId="3" borderId="0" xfId="2" applyFont="1" applyFill="1" applyAlignment="1">
      <alignment horizontal="center" wrapText="1"/>
    </xf>
  </cellXfs>
  <cellStyles count="8">
    <cellStyle name="Comma" xfId="6" builtinId="3"/>
    <cellStyle name="Comma 2" xfId="3" xr:uid="{DEF02301-5AA0-499D-8478-189EBEB85A98}"/>
    <cellStyle name="Currency" xfId="7" builtinId="4"/>
    <cellStyle name="Currency 2" xfId="4" xr:uid="{BCF9FF25-E98C-407C-885D-598BE6873838}"/>
    <cellStyle name="Normal" xfId="0" builtinId="0"/>
    <cellStyle name="Normal 2" xfId="2" xr:uid="{7E559461-870A-4F72-AB3A-A1ECDCF9D6EB}"/>
    <cellStyle name="Normal 3" xfId="5" xr:uid="{8B1253BC-0EC4-45DF-B896-F1D97EE94901}"/>
    <cellStyle name="Percent" xfId="1" builtinId="5"/>
  </cellStyles>
  <dxfs count="0"/>
  <tableStyles count="0" defaultTableStyle="TableStyleMedium2" defaultPivotStyle="PivotStyleLight16"/>
  <colors>
    <mruColors>
      <color rgb="FF0079FF"/>
      <color rgb="FFFF3300"/>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codeName="Sheet2">
    <tabColor rgb="FF0079FF"/>
    <pageSetUpPr fitToPage="1"/>
  </sheetPr>
  <dimension ref="A1:Q15"/>
  <sheetViews>
    <sheetView showGridLines="0" tabSelected="1" zoomScale="70" zoomScaleNormal="70" zoomScaleSheetLayoutView="85" workbookViewId="0">
      <pane xSplit="1" ySplit="4" topLeftCell="B5" activePane="bottomRight" state="frozen"/>
      <selection pane="topRight" activeCell="B1" sqref="B1"/>
      <selection pane="bottomLeft" activeCell="A6" sqref="A6"/>
      <selection pane="bottomRight" activeCell="B5" sqref="B5"/>
    </sheetView>
  </sheetViews>
  <sheetFormatPr defaultColWidth="9.1328125" defaultRowHeight="14.25"/>
  <cols>
    <col min="1" max="1" width="57.40625" style="2" bestFit="1" customWidth="1"/>
    <col min="2" max="2" width="1.40625" style="23" customWidth="1"/>
    <col min="3" max="6" width="14.81640625" style="2" customWidth="1"/>
    <col min="7" max="7" width="1.40625" style="23" customWidth="1"/>
    <col min="8" max="8" width="14.81640625" style="2" customWidth="1"/>
    <col min="9" max="9" width="1.81640625" style="23" customWidth="1"/>
    <col min="10" max="13" width="14.81640625" style="2" customWidth="1"/>
    <col min="14" max="14" width="1.40625" style="23" customWidth="1"/>
    <col min="15" max="15" width="14.81640625" style="2" customWidth="1"/>
    <col min="16" max="16" width="3.58984375" style="2" customWidth="1"/>
    <col min="17" max="17" width="14.81640625" style="2" customWidth="1"/>
    <col min="18" max="16384" width="9.1328125" style="2"/>
  </cols>
  <sheetData>
    <row r="1" spans="1:17" ht="18">
      <c r="A1" s="1" t="s">
        <v>100</v>
      </c>
    </row>
    <row r="2" spans="1:17" ht="15" thickBot="1">
      <c r="K2" s="9"/>
      <c r="L2" s="9"/>
    </row>
    <row r="3" spans="1:17" s="3" customFormat="1" ht="32.25" customHeight="1" thickBot="1">
      <c r="A3" s="15" t="s">
        <v>0</v>
      </c>
      <c r="B3" s="24"/>
      <c r="C3" s="101" t="s">
        <v>1</v>
      </c>
      <c r="D3" s="102"/>
      <c r="E3" s="102"/>
      <c r="F3" s="103"/>
      <c r="G3" s="24"/>
      <c r="H3" s="12" t="s">
        <v>2</v>
      </c>
      <c r="I3" s="24"/>
      <c r="J3" s="101" t="s">
        <v>1</v>
      </c>
      <c r="K3" s="102"/>
      <c r="L3" s="102"/>
      <c r="M3" s="104"/>
      <c r="N3" s="24"/>
      <c r="O3" s="12" t="s">
        <v>2</v>
      </c>
      <c r="Q3" s="12" t="s">
        <v>1</v>
      </c>
    </row>
    <row r="4" spans="1:17" s="11" customFormat="1" ht="33.75" customHeight="1" thickBot="1">
      <c r="A4" s="16" t="s">
        <v>4</v>
      </c>
      <c r="B4" s="25"/>
      <c r="C4" s="14" t="s">
        <v>3</v>
      </c>
      <c r="D4" s="14">
        <v>45138</v>
      </c>
      <c r="E4" s="14">
        <v>45230</v>
      </c>
      <c r="F4" s="14">
        <v>45322</v>
      </c>
      <c r="G4" s="25"/>
      <c r="H4" s="13">
        <v>45322</v>
      </c>
      <c r="I4" s="25"/>
      <c r="J4" s="14">
        <v>45412</v>
      </c>
      <c r="K4" s="14">
        <v>45504</v>
      </c>
      <c r="L4" s="14">
        <v>45596</v>
      </c>
      <c r="M4" s="14">
        <v>45688</v>
      </c>
      <c r="N4" s="25"/>
      <c r="O4" s="13">
        <v>45688</v>
      </c>
      <c r="Q4" s="14">
        <v>45777</v>
      </c>
    </row>
    <row r="5" spans="1:17" ht="25.5" customHeight="1" thickBot="1">
      <c r="A5" s="21" t="s">
        <v>6</v>
      </c>
      <c r="B5" s="26"/>
      <c r="C5" s="22">
        <v>667.68373768367155</v>
      </c>
      <c r="D5" s="22">
        <v>665.0175171760003</v>
      </c>
      <c r="E5" s="22">
        <v>670.51994957519992</v>
      </c>
      <c r="F5" s="22">
        <v>676.63081570279974</v>
      </c>
      <c r="G5" s="26"/>
      <c r="H5" s="22">
        <f>F5</f>
        <v>676.63081570279974</v>
      </c>
      <c r="I5" s="26"/>
      <c r="J5" s="22">
        <v>668.13999286674607</v>
      </c>
      <c r="K5" s="22">
        <v>684.69171952785393</v>
      </c>
      <c r="L5" s="22">
        <v>695.3191171908104</v>
      </c>
      <c r="M5" s="22">
        <v>711.75300000000004</v>
      </c>
      <c r="N5" s="26"/>
      <c r="O5" s="22">
        <f>M5</f>
        <v>711.75300000000004</v>
      </c>
      <c r="Q5" s="22">
        <v>709.99199999999996</v>
      </c>
    </row>
    <row r="6" spans="1:17" ht="25.5" customHeight="1" thickBot="1">
      <c r="A6" s="5" t="s">
        <v>7</v>
      </c>
      <c r="B6" s="26"/>
      <c r="C6" s="33"/>
      <c r="D6" s="6"/>
      <c r="E6" s="6"/>
      <c r="F6" s="6"/>
      <c r="G6" s="26"/>
      <c r="H6" s="6"/>
      <c r="I6" s="26"/>
      <c r="J6" s="6">
        <f>+J5/C5-1</f>
        <v>6.8334026624250477E-4</v>
      </c>
      <c r="K6" s="6">
        <f>+K5/D5-1</f>
        <v>2.9584487391249858E-2</v>
      </c>
      <c r="L6" s="6">
        <f>+L5/E5-1</f>
        <v>3.6984981030499853E-2</v>
      </c>
      <c r="M6" s="6">
        <f>+M5/F5-1</f>
        <v>5.1907456004231411E-2</v>
      </c>
      <c r="N6" s="26"/>
      <c r="O6" s="6">
        <f>+O5/H5-1</f>
        <v>5.1907456004231411E-2</v>
      </c>
      <c r="Q6" s="6">
        <f>+Q5/J5-1</f>
        <v>6.2639577902951382E-2</v>
      </c>
    </row>
    <row r="7" spans="1:17" ht="25.5" customHeight="1" thickBot="1">
      <c r="A7" s="7"/>
      <c r="B7" s="26"/>
      <c r="C7" s="4"/>
      <c r="D7" s="4"/>
      <c r="E7" s="4"/>
      <c r="F7" s="4"/>
      <c r="G7" s="26"/>
      <c r="H7" s="4"/>
      <c r="I7" s="26"/>
      <c r="J7" s="17"/>
      <c r="K7" s="17"/>
      <c r="L7" s="17"/>
      <c r="M7" s="4"/>
      <c r="N7" s="26"/>
      <c r="O7" s="4"/>
      <c r="Q7" s="17"/>
    </row>
    <row r="8" spans="1:17" ht="25.5" customHeight="1" thickBot="1">
      <c r="A8" s="21" t="s">
        <v>103</v>
      </c>
      <c r="B8" s="26"/>
      <c r="C8" s="22">
        <v>261.76253820599464</v>
      </c>
      <c r="D8" s="22">
        <v>266.09723890440006</v>
      </c>
      <c r="E8" s="22">
        <v>274.5792527375998</v>
      </c>
      <c r="F8" s="22">
        <v>283.03597989879984</v>
      </c>
      <c r="G8" s="26"/>
      <c r="H8" s="22">
        <f>F8</f>
        <v>283.03597989879984</v>
      </c>
      <c r="I8" s="26"/>
      <c r="J8" s="22">
        <v>285.07921742029333</v>
      </c>
      <c r="K8" s="22">
        <v>307.04522340400007</v>
      </c>
      <c r="L8" s="22">
        <v>319.08211313520002</v>
      </c>
      <c r="M8" s="22">
        <v>334.15763157529983</v>
      </c>
      <c r="N8" s="26"/>
      <c r="O8" s="22">
        <f>M8</f>
        <v>334.15763157529983</v>
      </c>
      <c r="Q8" s="22">
        <v>353.90564660445068</v>
      </c>
    </row>
    <row r="9" spans="1:17" ht="25.5" customHeight="1" thickBot="1">
      <c r="A9" s="5" t="s">
        <v>7</v>
      </c>
      <c r="B9" s="26"/>
      <c r="C9" s="6"/>
      <c r="D9" s="6"/>
      <c r="E9" s="6"/>
      <c r="F9" s="6"/>
      <c r="G9" s="26"/>
      <c r="H9" s="6"/>
      <c r="I9" s="26"/>
      <c r="J9" s="6">
        <f>+J8/C8-1</f>
        <v>8.907569193858289E-2</v>
      </c>
      <c r="K9" s="6">
        <f>+K8/D8-1</f>
        <v>0.15388353771799657</v>
      </c>
      <c r="L9" s="6">
        <f>+L8/E8-1</f>
        <v>0.16207655878548533</v>
      </c>
      <c r="M9" s="6">
        <f>+M8/F8-1</f>
        <v>0.18061891528694929</v>
      </c>
      <c r="N9" s="26"/>
      <c r="O9" s="6">
        <f>+O8/H8-1</f>
        <v>0.18061891528694929</v>
      </c>
      <c r="Q9" s="6">
        <f>+Q8/J8-1</f>
        <v>0.24142913610810957</v>
      </c>
    </row>
    <row r="10" spans="1:17" ht="25.5" customHeight="1" thickBot="1">
      <c r="A10" s="7"/>
      <c r="B10" s="26"/>
      <c r="C10" s="4"/>
      <c r="D10" s="4"/>
      <c r="E10" s="4"/>
      <c r="F10" s="4"/>
      <c r="G10" s="26"/>
      <c r="H10" s="4"/>
      <c r="I10" s="26"/>
      <c r="J10" s="17"/>
      <c r="K10" s="17"/>
      <c r="L10" s="17"/>
      <c r="M10" s="4"/>
      <c r="N10" s="26"/>
      <c r="O10" s="4"/>
      <c r="Q10" s="17"/>
    </row>
    <row r="11" spans="1:17" ht="25.5" customHeight="1" thickBot="1">
      <c r="A11" s="21" t="s">
        <v>102</v>
      </c>
      <c r="B11" s="26"/>
      <c r="C11" s="22">
        <f>C5-C8</f>
        <v>405.92119947767691</v>
      </c>
      <c r="D11" s="22">
        <f>D5-D8</f>
        <v>398.92027827160024</v>
      </c>
      <c r="E11" s="22">
        <f>E5-E8</f>
        <v>395.94069683760011</v>
      </c>
      <c r="F11" s="22">
        <f>F5-F8</f>
        <v>393.5948358039999</v>
      </c>
      <c r="G11" s="26"/>
      <c r="H11" s="22">
        <f>F11</f>
        <v>393.5948358039999</v>
      </c>
      <c r="I11" s="26"/>
      <c r="J11" s="22">
        <f>J5-J8</f>
        <v>383.06077544645274</v>
      </c>
      <c r="K11" s="22">
        <f t="shared" ref="K11:M11" si="0">K5-K8</f>
        <v>377.64649612385386</v>
      </c>
      <c r="L11" s="22">
        <f t="shared" si="0"/>
        <v>376.23700405561038</v>
      </c>
      <c r="M11" s="22">
        <f t="shared" si="0"/>
        <v>377.59536842470021</v>
      </c>
      <c r="N11" s="26"/>
      <c r="O11" s="22">
        <f>M11</f>
        <v>377.59536842470021</v>
      </c>
      <c r="Q11" s="22">
        <f t="shared" ref="Q11" si="1">Q5-Q8</f>
        <v>356.08635339554928</v>
      </c>
    </row>
    <row r="12" spans="1:17" ht="25.5" customHeight="1" thickBot="1">
      <c r="A12" s="5" t="s">
        <v>7</v>
      </c>
      <c r="B12" s="26"/>
      <c r="C12" s="6"/>
      <c r="D12" s="6"/>
      <c r="E12" s="6"/>
      <c r="F12" s="6"/>
      <c r="G12" s="26"/>
      <c r="H12" s="6"/>
      <c r="I12" s="26"/>
      <c r="J12" s="6">
        <f>+J11/C11-1</f>
        <v>-5.6317393771599167E-2</v>
      </c>
      <c r="K12" s="6">
        <f>+K11/D11-1</f>
        <v>-5.3328404963315368E-2</v>
      </c>
      <c r="L12" s="6">
        <f>+L11/E11-1</f>
        <v>-4.9764252423062816E-2</v>
      </c>
      <c r="M12" s="6">
        <f>+M11/F11-1</f>
        <v>-4.0649586640580382E-2</v>
      </c>
      <c r="N12" s="26"/>
      <c r="O12" s="6">
        <f>+O11/H11-1</f>
        <v>-4.0649586640580382E-2</v>
      </c>
      <c r="Q12" s="6">
        <f>+Q11/J11-1</f>
        <v>-7.0418126260683001E-2</v>
      </c>
    </row>
    <row r="13" spans="1:17" ht="25.5" customHeight="1">
      <c r="A13" s="31"/>
      <c r="B13" s="26"/>
      <c r="C13" s="30"/>
      <c r="D13" s="30"/>
      <c r="E13" s="30"/>
      <c r="F13" s="30"/>
      <c r="G13" s="26"/>
      <c r="H13" s="30"/>
      <c r="I13" s="26"/>
      <c r="J13" s="32"/>
      <c r="K13" s="32"/>
      <c r="L13" s="32"/>
      <c r="M13" s="30"/>
      <c r="N13" s="26"/>
      <c r="O13" s="30"/>
      <c r="Q13" s="32"/>
    </row>
    <row r="15" spans="1:17" ht="33.5">
      <c r="A15" s="10" t="s">
        <v>10</v>
      </c>
    </row>
  </sheetData>
  <mergeCells count="2">
    <mergeCell ref="C3:F3"/>
    <mergeCell ref="J3:M3"/>
  </mergeCells>
  <pageMargins left="0.25" right="0.25"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0F32-CFAD-4AFE-8CC1-E3718F0553ED}">
  <sheetPr>
    <tabColor rgb="FF0079FF"/>
  </sheetPr>
  <dimension ref="A1:E15"/>
  <sheetViews>
    <sheetView zoomScale="70" zoomScaleNormal="70" workbookViewId="0">
      <selection activeCell="E12" sqref="E12"/>
    </sheetView>
  </sheetViews>
  <sheetFormatPr defaultColWidth="9.1328125" defaultRowHeight="14.25"/>
  <cols>
    <col min="1" max="1" width="76.58984375" style="2" customWidth="1"/>
    <col min="2" max="2" width="1.40625" style="2" customWidth="1"/>
    <col min="3" max="3" width="13.81640625" style="2" customWidth="1"/>
    <col min="4" max="4" width="0.58984375" style="2" customWidth="1"/>
    <col min="5" max="5" width="13.81640625" style="2" customWidth="1"/>
    <col min="6" max="16384" width="9.1328125" style="2"/>
  </cols>
  <sheetData>
    <row r="1" spans="1:5" ht="18">
      <c r="A1" s="1" t="s">
        <v>95</v>
      </c>
    </row>
    <row r="2" spans="1:5" ht="15" thickBot="1"/>
    <row r="3" spans="1:5" s="3" customFormat="1" ht="26.25" customHeight="1" thickBot="1">
      <c r="A3" s="85" t="s">
        <v>0</v>
      </c>
      <c r="C3" s="101" t="s">
        <v>2</v>
      </c>
      <c r="D3" s="102"/>
      <c r="E3" s="103"/>
    </row>
    <row r="4" spans="1:5" s="11" customFormat="1" ht="27" customHeight="1" thickBot="1">
      <c r="A4" s="86" t="s">
        <v>4</v>
      </c>
      <c r="C4" s="13">
        <v>45322</v>
      </c>
      <c r="E4" s="13">
        <v>45688</v>
      </c>
    </row>
    <row r="5" spans="1:5" ht="16" customHeight="1" thickBot="1">
      <c r="A5" s="19"/>
      <c r="B5" s="28"/>
      <c r="C5" s="20"/>
      <c r="D5" s="28"/>
      <c r="E5" s="20"/>
    </row>
    <row r="6" spans="1:5" ht="25.5" customHeight="1" thickBot="1">
      <c r="A6" s="21" t="s">
        <v>5</v>
      </c>
      <c r="B6" s="28"/>
      <c r="C6" s="22"/>
      <c r="D6" s="28"/>
      <c r="E6" s="22"/>
    </row>
    <row r="7" spans="1:5" ht="25.5" customHeight="1" thickBot="1">
      <c r="A7" s="7" t="s">
        <v>8</v>
      </c>
      <c r="B7" s="28"/>
      <c r="C7" s="4">
        <v>676.63099999999997</v>
      </c>
      <c r="D7" s="28"/>
      <c r="E7" s="4">
        <v>711.75300000000004</v>
      </c>
    </row>
    <row r="8" spans="1:5" ht="39" customHeight="1" thickBot="1">
      <c r="A8" s="18" t="s">
        <v>96</v>
      </c>
      <c r="B8" s="28"/>
      <c r="C8" s="4">
        <v>211.13899999999998</v>
      </c>
      <c r="D8" s="28"/>
      <c r="E8" s="4">
        <v>201.06900000000002</v>
      </c>
    </row>
    <row r="9" spans="1:5" s="8" customFormat="1" ht="25.5" customHeight="1" thickBot="1">
      <c r="A9" s="7" t="s">
        <v>5</v>
      </c>
      <c r="B9" s="28"/>
      <c r="C9" s="27">
        <f>C7+C8</f>
        <v>887.77</v>
      </c>
      <c r="D9" s="28"/>
      <c r="E9" s="27">
        <f>E7+E8</f>
        <v>912.82200000000012</v>
      </c>
    </row>
    <row r="10" spans="1:5" ht="25.5" customHeight="1" thickBot="1">
      <c r="A10" s="18" t="s">
        <v>9</v>
      </c>
      <c r="B10" s="28"/>
      <c r="C10" s="4">
        <v>664.06600000000003</v>
      </c>
      <c r="D10" s="28"/>
      <c r="E10" s="4">
        <v>684.74900000000002</v>
      </c>
    </row>
    <row r="11" spans="1:5" s="8" customFormat="1" ht="25.5" customHeight="1" thickBot="1">
      <c r="A11" s="7" t="s">
        <v>11</v>
      </c>
      <c r="B11" s="28"/>
      <c r="C11" s="27">
        <f>C9-C10</f>
        <v>223.70399999999995</v>
      </c>
      <c r="D11" s="28"/>
      <c r="E11" s="27">
        <f>E9-E10</f>
        <v>228.07300000000009</v>
      </c>
    </row>
    <row r="13" spans="1:5" ht="33.5">
      <c r="A13" s="10" t="s">
        <v>10</v>
      </c>
    </row>
    <row r="15" spans="1:5" ht="50.25">
      <c r="A15" s="10" t="s">
        <v>69</v>
      </c>
    </row>
  </sheetData>
  <mergeCells count="1">
    <mergeCell ref="C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DF12-8C78-4F21-BEC0-DE74AC72B144}">
  <sheetPr>
    <tabColor rgb="FF0079FF"/>
  </sheetPr>
  <dimension ref="A1:L14"/>
  <sheetViews>
    <sheetView zoomScale="70" zoomScaleNormal="70" workbookViewId="0">
      <selection activeCell="A3" sqref="A3"/>
    </sheetView>
  </sheetViews>
  <sheetFormatPr defaultColWidth="9.1328125" defaultRowHeight="14.25"/>
  <cols>
    <col min="1" max="1" width="64.58984375" style="2" customWidth="1"/>
    <col min="2" max="2" width="1.40625" style="2" customWidth="1"/>
    <col min="3" max="3" width="13.81640625" style="2" customWidth="1"/>
    <col min="4" max="4" width="1.40625" style="2" customWidth="1"/>
    <col min="5" max="8" width="13.81640625" style="2" customWidth="1"/>
    <col min="9" max="9" width="1.40625" style="2" customWidth="1"/>
    <col min="10" max="10" width="13.81640625" style="2" customWidth="1"/>
    <col min="11" max="11" width="2.81640625" style="2" customWidth="1"/>
    <col min="12" max="12" width="18.1328125" style="2" customWidth="1"/>
    <col min="13" max="16384" width="9.1328125" style="2"/>
  </cols>
  <sheetData>
    <row r="1" spans="1:12" ht="18">
      <c r="A1" s="1" t="s">
        <v>70</v>
      </c>
    </row>
    <row r="2" spans="1:12" ht="15" thickBot="1"/>
    <row r="3" spans="1:12" s="3" customFormat="1" ht="31" customHeight="1" thickBot="1">
      <c r="A3" s="85" t="s">
        <v>0</v>
      </c>
      <c r="C3" s="12" t="s">
        <v>2</v>
      </c>
      <c r="E3" s="101" t="s">
        <v>1</v>
      </c>
      <c r="F3" s="102"/>
      <c r="G3" s="102"/>
      <c r="H3" s="104"/>
      <c r="J3" s="12" t="s">
        <v>2</v>
      </c>
      <c r="L3" s="12" t="s">
        <v>1</v>
      </c>
    </row>
    <row r="4" spans="1:12" s="11" customFormat="1" ht="27" customHeight="1" thickBot="1">
      <c r="A4" s="86" t="s">
        <v>4</v>
      </c>
      <c r="C4" s="13">
        <v>45322</v>
      </c>
      <c r="E4" s="13">
        <v>45412</v>
      </c>
      <c r="F4" s="13">
        <v>45504</v>
      </c>
      <c r="G4" s="13">
        <v>45596</v>
      </c>
      <c r="H4" s="13">
        <v>45688</v>
      </c>
      <c r="J4" s="13">
        <v>45688</v>
      </c>
      <c r="L4" s="13">
        <v>45777</v>
      </c>
    </row>
    <row r="5" spans="1:12" ht="16" customHeight="1" thickBot="1">
      <c r="A5" s="19"/>
      <c r="B5" s="28"/>
      <c r="C5" s="20"/>
      <c r="D5" s="28"/>
      <c r="E5" s="20"/>
      <c r="F5" s="20"/>
      <c r="G5" s="20"/>
      <c r="H5" s="20"/>
      <c r="I5" s="28"/>
      <c r="J5" s="20"/>
      <c r="K5" s="28"/>
      <c r="L5" s="20"/>
    </row>
    <row r="6" spans="1:12" ht="25.5" customHeight="1" thickBot="1">
      <c r="A6" s="21"/>
      <c r="B6" s="28"/>
      <c r="C6" s="22"/>
      <c r="D6" s="28"/>
      <c r="E6" s="22"/>
      <c r="F6" s="22"/>
      <c r="G6" s="22"/>
      <c r="H6" s="22"/>
      <c r="I6" s="28"/>
      <c r="J6" s="22"/>
      <c r="K6" s="28"/>
      <c r="L6" s="22"/>
    </row>
    <row r="7" spans="1:12" ht="25.5" customHeight="1" thickBot="1">
      <c r="A7" s="7" t="s">
        <v>98</v>
      </c>
      <c r="B7" s="28"/>
      <c r="C7" s="97">
        <v>150.642</v>
      </c>
      <c r="D7" s="98"/>
      <c r="E7" s="97">
        <v>60.716999999999999</v>
      </c>
      <c r="F7" s="97">
        <f>64.58-E7</f>
        <v>3.8629999999999995</v>
      </c>
      <c r="G7" s="97">
        <f>98.227-F7-E7</f>
        <v>33.647000000000006</v>
      </c>
      <c r="H7" s="97">
        <f>157.447-G7-F7-E7</f>
        <v>59.22</v>
      </c>
      <c r="I7" s="98"/>
      <c r="J7" s="97">
        <f>SUM(E7:H7)</f>
        <v>157.447</v>
      </c>
      <c r="K7" s="98"/>
      <c r="L7" s="97">
        <v>26.323</v>
      </c>
    </row>
    <row r="8" spans="1:12" ht="25.5" customHeight="1" thickBot="1">
      <c r="A8" s="18" t="s">
        <v>12</v>
      </c>
      <c r="B8" s="28"/>
      <c r="C8" s="97">
        <v>16.114000000000001</v>
      </c>
      <c r="D8" s="98"/>
      <c r="E8" s="97">
        <v>3.5910000000000002</v>
      </c>
      <c r="F8" s="97">
        <f>7.868-E8</f>
        <v>4.2770000000000001</v>
      </c>
      <c r="G8" s="97">
        <f>12.173-F8-E8</f>
        <v>4.3049999999999997</v>
      </c>
      <c r="H8" s="97">
        <f>15.338-G8-F8-E8</f>
        <v>3.1649999999999991</v>
      </c>
      <c r="I8" s="98"/>
      <c r="J8" s="97">
        <f>SUM(E8:H8)</f>
        <v>15.337999999999999</v>
      </c>
      <c r="K8" s="98"/>
      <c r="L8" s="97">
        <v>3.1680000000000001</v>
      </c>
    </row>
    <row r="9" spans="1:12" s="8" customFormat="1" ht="39.75" customHeight="1" thickBot="1">
      <c r="A9" s="18" t="s">
        <v>13</v>
      </c>
      <c r="B9" s="28"/>
      <c r="C9" s="97">
        <v>9.6229999999999993</v>
      </c>
      <c r="D9" s="98"/>
      <c r="E9" s="97">
        <v>2.5379999999999998</v>
      </c>
      <c r="F9" s="97">
        <f>5.701-E9</f>
        <v>3.1629999999999998</v>
      </c>
      <c r="G9" s="97">
        <f>9.056-F9-E9</f>
        <v>3.3549999999999991</v>
      </c>
      <c r="H9" s="97">
        <f>12.228-G9-F9-E9</f>
        <v>3.172000000000001</v>
      </c>
      <c r="I9" s="98"/>
      <c r="J9" s="97">
        <f>SUM(E9:H9)</f>
        <v>12.228</v>
      </c>
      <c r="K9" s="98"/>
      <c r="L9" s="97">
        <v>2.8570000000000002</v>
      </c>
    </row>
    <row r="10" spans="1:12" ht="25.5" customHeight="1" thickBot="1">
      <c r="A10" s="7" t="s">
        <v>70</v>
      </c>
      <c r="B10" s="29"/>
      <c r="C10" s="99">
        <f>C7-C8-C9</f>
        <v>124.90499999999999</v>
      </c>
      <c r="D10" s="98"/>
      <c r="E10" s="99">
        <f>E7-E8-E9</f>
        <v>54.588000000000001</v>
      </c>
      <c r="F10" s="99">
        <f>F7-F8-F9</f>
        <v>-3.5770000000000004</v>
      </c>
      <c r="G10" s="99">
        <f>G7-G8-G9</f>
        <v>25.987000000000005</v>
      </c>
      <c r="H10" s="99">
        <f>H7-H8-H9</f>
        <v>52.882999999999996</v>
      </c>
      <c r="I10" s="98"/>
      <c r="J10" s="99">
        <f>J7-J8-J9</f>
        <v>129.881</v>
      </c>
      <c r="K10" s="98"/>
      <c r="L10" s="99">
        <f>L7-L8-L9</f>
        <v>20.298000000000002</v>
      </c>
    </row>
    <row r="11" spans="1:12">
      <c r="D11" s="28"/>
      <c r="I11" s="28"/>
      <c r="K11" s="28"/>
    </row>
    <row r="12" spans="1:12" ht="16.75">
      <c r="A12" s="10"/>
      <c r="D12" s="28"/>
      <c r="I12" s="28"/>
      <c r="K12" s="28"/>
    </row>
    <row r="13" spans="1:12">
      <c r="D13" s="28"/>
      <c r="I13" s="28"/>
      <c r="K13" s="28"/>
    </row>
    <row r="14" spans="1:12" ht="16.75">
      <c r="A14" s="10"/>
    </row>
  </sheetData>
  <mergeCells count="1">
    <mergeCell ref="E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DD16-94E9-479A-9882-3218D30F6E66}">
  <sheetPr>
    <tabColor theme="0" tint="-4.9989318521683403E-2"/>
  </sheetPr>
  <dimension ref="A1"/>
  <sheetViews>
    <sheetView topLeftCell="A4" workbookViewId="0">
      <selection activeCell="M42" sqref="M42"/>
    </sheetView>
  </sheetViews>
  <sheetFormatPr defaultRowHeight="14.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47F1-EF57-437C-8EBD-95F500F43F1B}">
  <sheetPr>
    <tabColor theme="0" tint="-4.9989318521683403E-2"/>
    <pageSetUpPr fitToPage="1"/>
  </sheetPr>
  <dimension ref="A1:Q28"/>
  <sheetViews>
    <sheetView zoomScale="65" zoomScaleNormal="65" zoomScaleSheetLayoutView="85" workbookViewId="0">
      <pane xSplit="1" ySplit="4" topLeftCell="B5" activePane="bottomRight" state="frozen"/>
      <selection activeCell="E39" sqref="E39"/>
      <selection pane="topRight" activeCell="E39" sqref="E39"/>
      <selection pane="bottomLeft" activeCell="E39" sqref="E39"/>
      <selection pane="bottomRight" activeCell="H57" sqref="H57"/>
    </sheetView>
  </sheetViews>
  <sheetFormatPr defaultColWidth="9.1328125" defaultRowHeight="10.5"/>
  <cols>
    <col min="1" max="1" width="93.26953125" style="51" bestFit="1" customWidth="1"/>
    <col min="2" max="2" width="1.81640625" style="34" customWidth="1"/>
    <col min="3" max="6" width="18.40625" style="34" customWidth="1"/>
    <col min="7" max="7" width="1.81640625" style="34" customWidth="1"/>
    <col min="8" max="8" width="21.1328125" style="51" customWidth="1"/>
    <col min="9" max="9" width="1.81640625" style="34" customWidth="1"/>
    <col min="10" max="12" width="18.40625" style="34" customWidth="1"/>
    <col min="13" max="13" width="18.58984375" style="34" customWidth="1"/>
    <col min="14" max="14" width="1.81640625" style="34" customWidth="1"/>
    <col min="15" max="15" width="21.1328125" style="51" customWidth="1"/>
    <col min="16" max="16" width="1.58984375" style="34" customWidth="1"/>
    <col min="17" max="17" width="22.1328125" style="34" customWidth="1"/>
    <col min="18" max="16384" width="9.1328125" style="34"/>
  </cols>
  <sheetData>
    <row r="1" spans="1:17" ht="18">
      <c r="A1" s="1" t="s">
        <v>41</v>
      </c>
    </row>
    <row r="2" spans="1:17" ht="10.75">
      <c r="A2" s="52"/>
    </row>
    <row r="3" spans="1:17" s="2" customFormat="1" ht="34.5" customHeight="1">
      <c r="A3" s="36"/>
      <c r="C3" s="105" t="s">
        <v>1</v>
      </c>
      <c r="D3" s="105"/>
      <c r="E3" s="105"/>
      <c r="F3" s="105"/>
      <c r="H3" s="37" t="s">
        <v>2</v>
      </c>
      <c r="J3" s="105" t="s">
        <v>1</v>
      </c>
      <c r="K3" s="105"/>
      <c r="L3" s="105"/>
      <c r="M3" s="105"/>
      <c r="O3" s="37" t="s">
        <v>2</v>
      </c>
      <c r="Q3" s="37" t="s">
        <v>1</v>
      </c>
    </row>
    <row r="4" spans="1:17" s="2" customFormat="1" ht="26.25" customHeight="1">
      <c r="A4" s="36" t="s">
        <v>4</v>
      </c>
      <c r="C4" s="38" t="s">
        <v>3</v>
      </c>
      <c r="D4" s="38" t="s">
        <v>14</v>
      </c>
      <c r="E4" s="38" t="s">
        <v>15</v>
      </c>
      <c r="F4" s="38" t="s">
        <v>16</v>
      </c>
      <c r="H4" s="38" t="s">
        <v>16</v>
      </c>
      <c r="J4" s="38" t="s">
        <v>42</v>
      </c>
      <c r="K4" s="38" t="s">
        <v>43</v>
      </c>
      <c r="L4" s="38" t="s">
        <v>44</v>
      </c>
      <c r="M4" s="38" t="s">
        <v>45</v>
      </c>
      <c r="O4" s="38" t="s">
        <v>45</v>
      </c>
      <c r="Q4" s="38" t="s">
        <v>97</v>
      </c>
    </row>
    <row r="5" spans="1:17" s="2" customFormat="1" ht="19.5" customHeight="1">
      <c r="A5" s="53"/>
      <c r="H5" s="54"/>
      <c r="O5" s="54"/>
    </row>
    <row r="6" spans="1:17" ht="16.75">
      <c r="A6" s="55" t="s">
        <v>46</v>
      </c>
    </row>
    <row r="7" spans="1:17" s="40" customFormat="1" ht="16.75">
      <c r="A7" s="56" t="s">
        <v>18</v>
      </c>
      <c r="B7" s="59"/>
      <c r="C7" s="57">
        <v>216.56600000000003</v>
      </c>
      <c r="D7" s="57">
        <v>210.16499999999999</v>
      </c>
      <c r="E7" s="57">
        <v>218.547</v>
      </c>
      <c r="F7" s="57">
        <v>265.10899999999998</v>
      </c>
      <c r="G7" s="59"/>
      <c r="H7" s="57">
        <f>SUM(C7:F7)</f>
        <v>910.38699999999994</v>
      </c>
      <c r="I7" s="59"/>
      <c r="J7" s="57">
        <v>221.27700000000002</v>
      </c>
      <c r="K7" s="57">
        <v>210.17000000000002</v>
      </c>
      <c r="L7" s="57">
        <v>224.19299999999998</v>
      </c>
      <c r="M7" s="57">
        <v>253.54599999999999</v>
      </c>
      <c r="N7" s="59"/>
      <c r="O7" s="57">
        <f>SUM(J7:M7)</f>
        <v>909.18599999999992</v>
      </c>
      <c r="Q7" s="57">
        <v>208.09700000000001</v>
      </c>
    </row>
    <row r="8" spans="1:17" s="40" customFormat="1" ht="16.75">
      <c r="C8" s="58"/>
      <c r="D8" s="58"/>
      <c r="E8" s="58"/>
      <c r="F8" s="58"/>
      <c r="H8" s="58"/>
      <c r="J8" s="58"/>
      <c r="K8" s="58"/>
      <c r="L8" s="58"/>
      <c r="M8" s="58"/>
      <c r="O8" s="58"/>
      <c r="Q8" s="58"/>
    </row>
    <row r="9" spans="1:17" s="40" customFormat="1" ht="16.75">
      <c r="A9" s="40" t="s">
        <v>47</v>
      </c>
      <c r="B9" s="62"/>
      <c r="C9" s="60">
        <v>39.643000000000001</v>
      </c>
      <c r="D9" s="60">
        <v>39.567</v>
      </c>
      <c r="E9" s="60">
        <v>38.883000000000003</v>
      </c>
      <c r="F9" s="60">
        <v>44.774999999999999</v>
      </c>
      <c r="G9" s="62"/>
      <c r="H9" s="60">
        <f>SUM(C9:F9)</f>
        <v>162.86800000000002</v>
      </c>
      <c r="I9" s="62"/>
      <c r="J9" s="60">
        <v>35.923000000000002</v>
      </c>
      <c r="K9" s="60">
        <v>36.302999999999997</v>
      </c>
      <c r="L9" s="60">
        <v>38.741999999999997</v>
      </c>
      <c r="M9" s="60">
        <v>39.124000000000002</v>
      </c>
      <c r="N9" s="62"/>
      <c r="O9" s="60">
        <f>SUM(J9:M9)</f>
        <v>150.09199999999998</v>
      </c>
      <c r="Q9" s="60">
        <v>42.107999999999997</v>
      </c>
    </row>
    <row r="10" spans="1:17" s="40" customFormat="1" ht="16.75">
      <c r="A10" s="40" t="s">
        <v>48</v>
      </c>
      <c r="B10" s="62"/>
      <c r="C10" s="60">
        <f>7.391</f>
        <v>7.391</v>
      </c>
      <c r="D10" s="60">
        <f>8.634</f>
        <v>8.6340000000000003</v>
      </c>
      <c r="E10" s="60">
        <f>7.551</f>
        <v>7.5510000000000002</v>
      </c>
      <c r="F10" s="60">
        <f>8.566</f>
        <v>8.5660000000000007</v>
      </c>
      <c r="G10" s="62"/>
      <c r="H10" s="60">
        <f>SUM(C10:F10)</f>
        <v>32.142000000000003</v>
      </c>
      <c r="I10" s="62"/>
      <c r="J10" s="60">
        <f>8.774</f>
        <v>8.7739999999999991</v>
      </c>
      <c r="K10" s="60">
        <f>8.834</f>
        <v>8.8339999999999996</v>
      </c>
      <c r="L10" s="60">
        <f>8.482</f>
        <v>8.4819999999999993</v>
      </c>
      <c r="M10" s="60">
        <f>9.886</f>
        <v>9.8859999999999992</v>
      </c>
      <c r="N10" s="62"/>
      <c r="O10" s="60">
        <f>SUM(J10:M10)</f>
        <v>35.975999999999999</v>
      </c>
      <c r="Q10" s="60">
        <v>7.2480000000000002</v>
      </c>
    </row>
    <row r="11" spans="1:17" s="40" customFormat="1" ht="16.75">
      <c r="A11" s="40" t="s">
        <v>49</v>
      </c>
      <c r="B11" s="62"/>
      <c r="C11" s="60">
        <f>26.795-C10</f>
        <v>19.404000000000003</v>
      </c>
      <c r="D11" s="60">
        <f>27.372-D10</f>
        <v>18.738</v>
      </c>
      <c r="E11" s="60">
        <f>25.046-E10</f>
        <v>17.494999999999997</v>
      </c>
      <c r="F11" s="60">
        <f>27.897-F10</f>
        <v>19.330999999999996</v>
      </c>
      <c r="G11" s="62"/>
      <c r="H11" s="60">
        <f>SUM(C11:F11)</f>
        <v>74.967999999999989</v>
      </c>
      <c r="I11" s="62"/>
      <c r="J11" s="60">
        <f>26.48-J10</f>
        <v>17.706000000000003</v>
      </c>
      <c r="K11" s="60">
        <f>26.8-K10</f>
        <v>17.966000000000001</v>
      </c>
      <c r="L11" s="60">
        <f>25.324-L10</f>
        <v>16.842000000000002</v>
      </c>
      <c r="M11" s="60">
        <f>15.79</f>
        <v>15.79</v>
      </c>
      <c r="N11" s="62"/>
      <c r="O11" s="60">
        <f>SUM(J11:M11)</f>
        <v>68.304000000000002</v>
      </c>
      <c r="Q11" s="60">
        <v>17.530999999999999</v>
      </c>
    </row>
    <row r="12" spans="1:17" s="40" customFormat="1" ht="16.75">
      <c r="A12" s="40" t="s">
        <v>27</v>
      </c>
      <c r="B12" s="62"/>
      <c r="C12" s="63">
        <v>1.9650000000000001</v>
      </c>
      <c r="D12" s="63">
        <v>1.9370000000000001</v>
      </c>
      <c r="E12" s="63">
        <v>1.609</v>
      </c>
      <c r="F12" s="63">
        <v>1.623</v>
      </c>
      <c r="G12" s="62"/>
      <c r="H12" s="63">
        <f>SUM(C12:F12)</f>
        <v>7.1340000000000003</v>
      </c>
      <c r="I12" s="62"/>
      <c r="J12" s="63">
        <v>1.3580000000000001</v>
      </c>
      <c r="K12" s="63">
        <v>1.641</v>
      </c>
      <c r="L12" s="63">
        <v>1.5</v>
      </c>
      <c r="M12" s="63">
        <v>2.2650000000000001</v>
      </c>
      <c r="N12" s="62"/>
      <c r="O12" s="63">
        <f>SUM(J12:M12)</f>
        <v>6.7640000000000011</v>
      </c>
      <c r="Q12" s="63">
        <v>2.3079999999999998</v>
      </c>
    </row>
    <row r="13" spans="1:17" s="40" customFormat="1" ht="16.75">
      <c r="A13" s="56" t="s">
        <v>24</v>
      </c>
      <c r="B13" s="65"/>
      <c r="C13" s="64">
        <f>SUM(C9:C12)</f>
        <v>68.403000000000006</v>
      </c>
      <c r="D13" s="64">
        <f>SUM(D9:D12)</f>
        <v>68.875999999999991</v>
      </c>
      <c r="E13" s="64">
        <f>SUM(E9:E12)</f>
        <v>65.537999999999997</v>
      </c>
      <c r="F13" s="64">
        <f>SUM(F9:F12)</f>
        <v>74.295000000000002</v>
      </c>
      <c r="G13" s="65"/>
      <c r="H13" s="64">
        <f>SUM(H9:H12)</f>
        <v>277.11200000000002</v>
      </c>
      <c r="I13" s="65"/>
      <c r="J13" s="64">
        <f>SUM(J9:J12)</f>
        <v>63.761000000000003</v>
      </c>
      <c r="K13" s="64">
        <f>SUM(K9:K12)</f>
        <v>64.744</v>
      </c>
      <c r="L13" s="64">
        <f>SUM(L9:L12)</f>
        <v>65.566000000000003</v>
      </c>
      <c r="M13" s="64">
        <f>SUM(M9:M12)</f>
        <v>67.065000000000012</v>
      </c>
      <c r="N13" s="65"/>
      <c r="O13" s="64">
        <f>SUM(O9:O12)</f>
        <v>261.13599999999997</v>
      </c>
      <c r="Q13" s="64">
        <f>SUM(Q9:Q12)</f>
        <v>69.194999999999993</v>
      </c>
    </row>
    <row r="14" spans="1:17" s="40" customFormat="1" ht="16.75">
      <c r="C14" s="60"/>
      <c r="D14" s="60"/>
      <c r="E14" s="60"/>
      <c r="F14" s="60"/>
      <c r="H14" s="60"/>
      <c r="J14" s="60"/>
      <c r="K14" s="60"/>
      <c r="L14" s="60"/>
      <c r="M14" s="60"/>
      <c r="O14" s="60"/>
      <c r="Q14" s="60"/>
    </row>
    <row r="15" spans="1:17" s="40" customFormat="1" ht="16.75">
      <c r="A15" s="56" t="s">
        <v>50</v>
      </c>
      <c r="B15" s="47"/>
      <c r="C15" s="57">
        <f>+C7-C13</f>
        <v>148.16300000000001</v>
      </c>
      <c r="D15" s="57">
        <f>+D7-D13</f>
        <v>141.28899999999999</v>
      </c>
      <c r="E15" s="57">
        <f>+E7-E13</f>
        <v>153.00900000000001</v>
      </c>
      <c r="F15" s="57">
        <f>+F7-F13</f>
        <v>190.81399999999996</v>
      </c>
      <c r="G15" s="47"/>
      <c r="H15" s="57">
        <f>+H7-H13</f>
        <v>633.27499999999986</v>
      </c>
      <c r="I15" s="47"/>
      <c r="J15" s="57">
        <f>+J7-J13</f>
        <v>157.51600000000002</v>
      </c>
      <c r="K15" s="57">
        <f>+K7-K13</f>
        <v>145.42600000000002</v>
      </c>
      <c r="L15" s="57">
        <f>+L7-L13</f>
        <v>158.62699999999998</v>
      </c>
      <c r="M15" s="57">
        <f>+M7-M13</f>
        <v>186.48099999999999</v>
      </c>
      <c r="N15" s="47"/>
      <c r="O15" s="57">
        <f>+O7-O13</f>
        <v>648.04999999999995</v>
      </c>
      <c r="Q15" s="57">
        <f>+Q7-Q13</f>
        <v>138.90200000000002</v>
      </c>
    </row>
    <row r="16" spans="1:17" s="40" customFormat="1" ht="16.75">
      <c r="A16" s="56" t="s">
        <v>51</v>
      </c>
      <c r="C16" s="66">
        <f>C15/C7</f>
        <v>0.6841470960353887</v>
      </c>
      <c r="D16" s="66">
        <f>D15/D7</f>
        <v>0.67227654461970354</v>
      </c>
      <c r="E16" s="66">
        <f>E15/E7</f>
        <v>0.70011942511221847</v>
      </c>
      <c r="F16" s="66">
        <f>F15/F7</f>
        <v>0.71975677928701021</v>
      </c>
      <c r="H16" s="66">
        <f>H15/H7</f>
        <v>0.69561076772844943</v>
      </c>
      <c r="J16" s="66">
        <f>J15/J7</f>
        <v>0.71184985335122952</v>
      </c>
      <c r="K16" s="66">
        <f>K15/K7</f>
        <v>0.69194461626302517</v>
      </c>
      <c r="L16" s="66">
        <f>L15/L7</f>
        <v>0.70754662277591185</v>
      </c>
      <c r="M16" s="66">
        <f>M15/M7</f>
        <v>0.73549178452825126</v>
      </c>
      <c r="O16" s="66">
        <f>O15/O7</f>
        <v>0.71278044316564493</v>
      </c>
      <c r="Q16" s="66">
        <f>Q15/Q7</f>
        <v>0.66748679702254243</v>
      </c>
    </row>
    <row r="17" spans="1:17" s="40" customFormat="1" ht="16.75">
      <c r="A17" s="40" t="s">
        <v>52</v>
      </c>
      <c r="B17" s="61"/>
      <c r="C17" s="67">
        <v>0.627</v>
      </c>
      <c r="D17" s="67">
        <v>0.24199999999999999</v>
      </c>
      <c r="E17" s="67">
        <v>0.12</v>
      </c>
      <c r="F17" s="67">
        <v>0.111</v>
      </c>
      <c r="G17" s="61"/>
      <c r="H17" s="67">
        <f>SUM(C17:F17)</f>
        <v>1.1000000000000001</v>
      </c>
      <c r="I17" s="61"/>
      <c r="J17" s="67">
        <v>0</v>
      </c>
      <c r="K17" s="67">
        <v>0</v>
      </c>
      <c r="L17" s="67">
        <v>0</v>
      </c>
      <c r="M17" s="67">
        <v>0</v>
      </c>
      <c r="N17" s="61"/>
      <c r="O17" s="67">
        <f>SUM(J17:M17)</f>
        <v>0</v>
      </c>
      <c r="Q17" s="67">
        <v>0</v>
      </c>
    </row>
    <row r="18" spans="1:17" s="40" customFormat="1" ht="16.75">
      <c r="A18" s="40" t="s">
        <v>27</v>
      </c>
      <c r="B18" s="61"/>
      <c r="C18" s="60">
        <v>1.9650000000000001</v>
      </c>
      <c r="D18" s="60">
        <v>1.9370000000000001</v>
      </c>
      <c r="E18" s="60">
        <v>1.609</v>
      </c>
      <c r="F18" s="60">
        <v>1.623</v>
      </c>
      <c r="G18" s="61"/>
      <c r="H18" s="60">
        <f>SUM(C18:F18)</f>
        <v>7.1340000000000003</v>
      </c>
      <c r="I18" s="61"/>
      <c r="J18" s="60">
        <v>1.3580000000000001</v>
      </c>
      <c r="K18" s="60">
        <v>1.641</v>
      </c>
      <c r="L18" s="60">
        <v>1.5</v>
      </c>
      <c r="M18" s="60">
        <v>2.2650000000000001</v>
      </c>
      <c r="N18" s="61"/>
      <c r="O18" s="60">
        <f>SUM(J18:M18)</f>
        <v>6.7640000000000011</v>
      </c>
      <c r="Q18" s="60">
        <v>2.3079999999999998</v>
      </c>
    </row>
    <row r="19" spans="1:17" s="40" customFormat="1" ht="16.75">
      <c r="A19" s="40" t="s">
        <v>28</v>
      </c>
      <c r="B19" s="61"/>
      <c r="C19" s="60">
        <v>0.436</v>
      </c>
      <c r="D19" s="60">
        <v>1.3759999999999999</v>
      </c>
      <c r="E19" s="60">
        <v>1.093</v>
      </c>
      <c r="F19" s="60">
        <v>1.226</v>
      </c>
      <c r="G19" s="61"/>
      <c r="H19" s="60">
        <f>SUM(C19:F19)</f>
        <v>4.1310000000000002</v>
      </c>
      <c r="I19" s="61"/>
      <c r="J19" s="60">
        <v>1.0820000000000001</v>
      </c>
      <c r="K19" s="60">
        <v>2.1739999999999999</v>
      </c>
      <c r="L19" s="60">
        <v>0.89900000000000002</v>
      </c>
      <c r="M19" s="60">
        <v>2.5209999999999999</v>
      </c>
      <c r="N19" s="61"/>
      <c r="O19" s="60">
        <f>SUM(J19:M19)</f>
        <v>6.6760000000000002</v>
      </c>
      <c r="Q19" s="60">
        <v>0.32100000000000001</v>
      </c>
    </row>
    <row r="20" spans="1:17" s="40" customFormat="1" ht="16.75">
      <c r="A20" s="40" t="s">
        <v>29</v>
      </c>
      <c r="B20" s="61"/>
      <c r="C20" s="67">
        <v>5.6000000000000001E-2</v>
      </c>
      <c r="D20" s="67">
        <v>0.26600000000000001</v>
      </c>
      <c r="E20" s="67">
        <v>3.1E-2</v>
      </c>
      <c r="F20" s="67">
        <v>-0.23599999999999999</v>
      </c>
      <c r="G20" s="61"/>
      <c r="H20" s="67">
        <f>SUM(C20:F20)</f>
        <v>0.11699999999999999</v>
      </c>
      <c r="I20" s="61"/>
      <c r="J20" s="67">
        <v>0</v>
      </c>
      <c r="K20" s="67">
        <v>0</v>
      </c>
      <c r="L20" s="67">
        <v>3.7999999999999999E-2</v>
      </c>
      <c r="M20" s="67">
        <v>0.27600000000000002</v>
      </c>
      <c r="N20" s="61"/>
      <c r="O20" s="67">
        <f>SUM(J20:M20)</f>
        <v>0.314</v>
      </c>
      <c r="Q20" s="67">
        <v>0.22700000000000001</v>
      </c>
    </row>
    <row r="21" spans="1:17" s="40" customFormat="1" ht="16.75">
      <c r="A21" s="40" t="s">
        <v>53</v>
      </c>
      <c r="B21" s="61"/>
      <c r="C21" s="63">
        <v>0.25800000000000001</v>
      </c>
      <c r="D21" s="63">
        <v>1.1910000000000001</v>
      </c>
      <c r="E21" s="63">
        <v>-2E-3</v>
      </c>
      <c r="F21" s="63">
        <v>4.665</v>
      </c>
      <c r="G21" s="62"/>
      <c r="H21" s="63">
        <f>SUM(C21:F21)</f>
        <v>6.1120000000000001</v>
      </c>
      <c r="I21" s="62"/>
      <c r="J21" s="63">
        <v>0.182</v>
      </c>
      <c r="K21" s="63">
        <v>0.41699999999999998</v>
      </c>
      <c r="L21" s="63">
        <v>0.247</v>
      </c>
      <c r="M21" s="63">
        <v>1.2989999999999999</v>
      </c>
      <c r="N21" s="62"/>
      <c r="O21" s="63">
        <f>SUM(J21:M21)</f>
        <v>2.145</v>
      </c>
      <c r="Q21" s="63">
        <v>3.6269999999999998</v>
      </c>
    </row>
    <row r="22" spans="1:17" s="40" customFormat="1" ht="16.75">
      <c r="A22" s="56" t="s">
        <v>54</v>
      </c>
      <c r="B22" s="47"/>
      <c r="C22" s="42">
        <f>SUM(C17:C21)+C15</f>
        <v>151.50500000000002</v>
      </c>
      <c r="D22" s="42">
        <f>SUM(D17:D21)+D15</f>
        <v>146.30099999999999</v>
      </c>
      <c r="E22" s="42">
        <f>SUM(E17:E21)+E15</f>
        <v>155.86000000000001</v>
      </c>
      <c r="F22" s="42">
        <f>SUM(F17:F21)+F15</f>
        <v>198.20299999999997</v>
      </c>
      <c r="G22" s="47"/>
      <c r="H22" s="42">
        <f>SUM(H17:H21)+H15</f>
        <v>651.86899999999991</v>
      </c>
      <c r="I22" s="47"/>
      <c r="J22" s="42">
        <f>SUM(J17:J21)+J15</f>
        <v>160.13800000000003</v>
      </c>
      <c r="K22" s="42">
        <f>SUM(K17:K21)+K15</f>
        <v>149.65800000000002</v>
      </c>
      <c r="L22" s="42">
        <f>SUM(L17:L21)+L15</f>
        <v>161.31099999999998</v>
      </c>
      <c r="M22" s="42">
        <f>SUM(M17:M21)+M15</f>
        <v>192.84199999999998</v>
      </c>
      <c r="N22" s="47"/>
      <c r="O22" s="42">
        <f>SUM(O17:O21)+O15</f>
        <v>663.94899999999996</v>
      </c>
      <c r="Q22" s="42">
        <f>SUM(Q17:Q21)+Q15</f>
        <v>145.38500000000002</v>
      </c>
    </row>
    <row r="23" spans="1:17" s="40" customFormat="1" ht="16.75">
      <c r="A23" s="56" t="s">
        <v>55</v>
      </c>
      <c r="C23" s="66">
        <v>0.69799999999999995</v>
      </c>
      <c r="D23" s="66">
        <v>0.69499999999999995</v>
      </c>
      <c r="E23" s="66">
        <v>0.71299999999999997</v>
      </c>
      <c r="F23" s="66">
        <v>0.747</v>
      </c>
      <c r="H23" s="66">
        <v>0.71499999999999997</v>
      </c>
      <c r="J23" s="66">
        <v>0.72399999999999998</v>
      </c>
      <c r="K23" s="66">
        <v>0.71199999999999997</v>
      </c>
      <c r="L23" s="66">
        <v>0.72</v>
      </c>
      <c r="M23" s="66">
        <v>0.76100000000000001</v>
      </c>
      <c r="O23" s="66">
        <v>0.73</v>
      </c>
      <c r="Q23" s="66">
        <v>0.69899999999999995</v>
      </c>
    </row>
    <row r="24" spans="1:17">
      <c r="C24" s="51"/>
      <c r="D24" s="51"/>
      <c r="E24" s="51"/>
      <c r="F24" s="51"/>
      <c r="J24" s="51"/>
      <c r="K24" s="51"/>
      <c r="L24" s="51"/>
      <c r="M24" s="51"/>
      <c r="Q24" s="51"/>
    </row>
    <row r="25" spans="1:17">
      <c r="C25" s="51"/>
      <c r="D25" s="51"/>
      <c r="E25" s="51"/>
      <c r="F25" s="51"/>
      <c r="J25" s="51"/>
      <c r="K25" s="51"/>
      <c r="L25" s="51"/>
      <c r="M25" s="51"/>
      <c r="Q25" s="51"/>
    </row>
    <row r="28" spans="1:17" ht="19">
      <c r="A28" s="74"/>
    </row>
  </sheetData>
  <mergeCells count="2">
    <mergeCell ref="C3:F3"/>
    <mergeCell ref="J3:M3"/>
  </mergeCells>
  <pageMargins left="0.25" right="0.25"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FD88-44DE-4900-A612-76A98E90D0EF}">
  <sheetPr>
    <tabColor theme="0" tint="-4.9989318521683403E-2"/>
    <pageSetUpPr fitToPage="1"/>
  </sheetPr>
  <dimension ref="A1:S194"/>
  <sheetViews>
    <sheetView zoomScale="65" zoomScaleNormal="65" zoomScaleSheetLayoutView="85" workbookViewId="0">
      <pane xSplit="1" ySplit="4" topLeftCell="B5" activePane="bottomRight" state="frozen"/>
      <selection pane="topRight"/>
      <selection pane="bottomLeft"/>
      <selection pane="bottomRight" activeCell="A38" sqref="A38"/>
    </sheetView>
  </sheetViews>
  <sheetFormatPr defaultColWidth="9.1328125" defaultRowHeight="10.5"/>
  <cols>
    <col min="1" max="1" width="66.40625" style="81" customWidth="1"/>
    <col min="2" max="2" width="1.81640625" style="34" customWidth="1"/>
    <col min="3" max="6" width="19.81640625" style="81" customWidth="1"/>
    <col min="7" max="7" width="1.81640625" style="34" customWidth="1"/>
    <col min="8" max="8" width="20.40625" style="81" customWidth="1"/>
    <col min="9" max="9" width="1.81640625" style="34" customWidth="1"/>
    <col min="10" max="13" width="19.81640625" style="81" customWidth="1"/>
    <col min="14" max="14" width="1.81640625" style="34" customWidth="1"/>
    <col min="15" max="15" width="20.40625" style="81" customWidth="1"/>
    <col min="16" max="16" width="2.1328125" style="81" customWidth="1"/>
    <col min="17" max="17" width="19.81640625" style="81" customWidth="1"/>
    <col min="18" max="18" width="9.1328125" style="81"/>
    <col min="19" max="19" width="11.1328125" style="81" bestFit="1" customWidth="1"/>
    <col min="20" max="16384" width="9.1328125" style="81"/>
  </cols>
  <sheetData>
    <row r="1" spans="1:17" s="34" customFormat="1" ht="18">
      <c r="A1" s="1" t="s">
        <v>32</v>
      </c>
    </row>
    <row r="2" spans="1:17" s="34" customFormat="1">
      <c r="A2" s="35"/>
      <c r="H2" s="35"/>
      <c r="O2" s="35"/>
    </row>
    <row r="3" spans="1:17" s="2" customFormat="1" ht="34.75" customHeight="1">
      <c r="A3" s="36"/>
      <c r="C3" s="105" t="s">
        <v>1</v>
      </c>
      <c r="D3" s="105"/>
      <c r="E3" s="105"/>
      <c r="F3" s="105"/>
      <c r="H3" s="37" t="s">
        <v>2</v>
      </c>
      <c r="J3" s="105" t="s">
        <v>1</v>
      </c>
      <c r="K3" s="105"/>
      <c r="L3" s="105"/>
      <c r="M3" s="105"/>
      <c r="O3" s="37" t="s">
        <v>2</v>
      </c>
      <c r="Q3" s="37" t="s">
        <v>1</v>
      </c>
    </row>
    <row r="4" spans="1:17" s="2" customFormat="1" ht="28.5" customHeight="1">
      <c r="A4" s="36" t="s">
        <v>4</v>
      </c>
      <c r="C4" s="38" t="s">
        <v>3</v>
      </c>
      <c r="D4" s="38" t="s">
        <v>14</v>
      </c>
      <c r="E4" s="38" t="s">
        <v>15</v>
      </c>
      <c r="F4" s="38" t="s">
        <v>16</v>
      </c>
      <c r="H4" s="38" t="s">
        <v>16</v>
      </c>
      <c r="J4" s="38" t="s">
        <v>42</v>
      </c>
      <c r="K4" s="38" t="s">
        <v>43</v>
      </c>
      <c r="L4" s="38" t="s">
        <v>44</v>
      </c>
      <c r="M4" s="38" t="s">
        <v>45</v>
      </c>
      <c r="O4" s="38" t="s">
        <v>45</v>
      </c>
      <c r="Q4" s="38" t="s">
        <v>97</v>
      </c>
    </row>
    <row r="5" spans="1:17" s="40" customFormat="1" ht="16.75">
      <c r="A5" s="55"/>
      <c r="B5" s="2"/>
      <c r="G5" s="2"/>
      <c r="I5" s="2"/>
      <c r="N5" s="2"/>
    </row>
    <row r="6" spans="1:17" s="40" customFormat="1" ht="16.75">
      <c r="A6" s="55" t="s">
        <v>56</v>
      </c>
      <c r="B6" s="34"/>
      <c r="G6" s="34"/>
      <c r="I6" s="34"/>
      <c r="N6" s="34"/>
    </row>
    <row r="7" spans="1:17" s="40" customFormat="1" ht="16.75">
      <c r="A7" s="72" t="s">
        <v>57</v>
      </c>
      <c r="B7" s="59"/>
      <c r="C7" s="42">
        <v>31.782</v>
      </c>
      <c r="D7" s="42">
        <v>34.057000000000002</v>
      </c>
      <c r="E7" s="42">
        <v>32.084000000000003</v>
      </c>
      <c r="F7" s="42">
        <v>35.881</v>
      </c>
      <c r="G7" s="59"/>
      <c r="H7" s="42">
        <f>SUM(C7:F7)</f>
        <v>133.804</v>
      </c>
      <c r="I7" s="59"/>
      <c r="J7" s="42">
        <v>36.729999999999997</v>
      </c>
      <c r="K7" s="42">
        <v>35.357999999999997</v>
      </c>
      <c r="L7" s="42">
        <v>37.735999999999997</v>
      </c>
      <c r="M7" s="42">
        <v>39.481000000000002</v>
      </c>
      <c r="N7" s="59"/>
      <c r="O7" s="42">
        <f>SUM(J7:M7)</f>
        <v>149.30499999999998</v>
      </c>
      <c r="Q7" s="42">
        <v>40.640999999999998</v>
      </c>
    </row>
    <row r="8" spans="1:17" s="40" customFormat="1" ht="16.75">
      <c r="A8" s="72" t="s">
        <v>58</v>
      </c>
      <c r="C8" s="75">
        <v>0.14699999999999999</v>
      </c>
      <c r="D8" s="75">
        <v>0.16200000000000001</v>
      </c>
      <c r="E8" s="75">
        <v>0.14699999999999999</v>
      </c>
      <c r="F8" s="75">
        <v>0.13500000000000001</v>
      </c>
      <c r="H8" s="75">
        <v>0.14699999999999999</v>
      </c>
      <c r="J8" s="75">
        <v>0.16600000000000001</v>
      </c>
      <c r="K8" s="75">
        <v>0.16800000000000001</v>
      </c>
      <c r="L8" s="75">
        <v>0.16800000000000001</v>
      </c>
      <c r="M8" s="75">
        <v>0.156</v>
      </c>
      <c r="O8" s="75">
        <v>0.16400000000000001</v>
      </c>
      <c r="Q8" s="75">
        <v>0.19500000000000001</v>
      </c>
    </row>
    <row r="9" spans="1:17" s="40" customFormat="1" ht="16.75">
      <c r="B9" s="62"/>
      <c r="G9" s="62"/>
      <c r="I9" s="62"/>
      <c r="N9" s="62"/>
    </row>
    <row r="10" spans="1:17" s="40" customFormat="1" ht="16.75">
      <c r="A10" s="68" t="s">
        <v>28</v>
      </c>
      <c r="B10" s="62"/>
      <c r="C10" s="76">
        <v>-2.327</v>
      </c>
      <c r="D10" s="76">
        <v>-3.4660000000000002</v>
      </c>
      <c r="E10" s="76">
        <v>-3.0249999999999999</v>
      </c>
      <c r="F10" s="76">
        <v>-3.1</v>
      </c>
      <c r="G10" s="62"/>
      <c r="H10" s="76">
        <f>SUM(C10:F10)</f>
        <v>-11.917999999999999</v>
      </c>
      <c r="I10" s="62"/>
      <c r="J10" s="76">
        <v>-3.5430000000000001</v>
      </c>
      <c r="K10" s="76">
        <v>-4.4640000000000004</v>
      </c>
      <c r="L10" s="76">
        <v>-3.097</v>
      </c>
      <c r="M10" s="76">
        <v>-3.72</v>
      </c>
      <c r="N10" s="62"/>
      <c r="O10" s="76">
        <f>SUM(J10:M10)</f>
        <v>-14.824000000000002</v>
      </c>
      <c r="Q10" s="76">
        <v>-3.093</v>
      </c>
    </row>
    <row r="11" spans="1:17" s="40" customFormat="1" ht="16.75">
      <c r="A11" s="77" t="s">
        <v>29</v>
      </c>
      <c r="B11" s="62"/>
      <c r="C11" s="76">
        <v>-5.6000000000000001E-2</v>
      </c>
      <c r="D11" s="76">
        <v>-0.02</v>
      </c>
      <c r="E11" s="76">
        <v>-0.02</v>
      </c>
      <c r="F11" s="76">
        <v>-0.02</v>
      </c>
      <c r="G11" s="62"/>
      <c r="H11" s="76">
        <f>SUM(C11:F11)</f>
        <v>-0.11600000000000001</v>
      </c>
      <c r="I11" s="62"/>
      <c r="J11" s="76">
        <v>0</v>
      </c>
      <c r="K11" s="76">
        <v>-3.5000000000000003E-2</v>
      </c>
      <c r="L11" s="76">
        <v>-0.16600000000000001</v>
      </c>
      <c r="M11" s="76">
        <v>-2.552</v>
      </c>
      <c r="N11" s="62"/>
      <c r="O11" s="76">
        <f>SUM(J11:M11)</f>
        <v>-2.7530000000000001</v>
      </c>
      <c r="Q11" s="76">
        <v>1.2190000000000001</v>
      </c>
    </row>
    <row r="12" spans="1:17" s="40" customFormat="1" ht="16.75">
      <c r="A12" s="68" t="s">
        <v>30</v>
      </c>
      <c r="B12" s="62"/>
      <c r="C12" s="73">
        <v>-0.13800000000000001</v>
      </c>
      <c r="D12" s="73">
        <v>-0.17699999999999999</v>
      </c>
      <c r="E12" s="73">
        <v>-1E-3</v>
      </c>
      <c r="F12" s="73">
        <v>-2E-3</v>
      </c>
      <c r="G12" s="62"/>
      <c r="H12" s="73">
        <f>SUM(C12:F12)</f>
        <v>-0.318</v>
      </c>
      <c r="I12" s="62"/>
      <c r="J12" s="73">
        <v>-1.464</v>
      </c>
      <c r="K12" s="73">
        <v>-0.152</v>
      </c>
      <c r="L12" s="73">
        <v>-0.377</v>
      </c>
      <c r="M12" s="73">
        <v>-1.0720000000000001</v>
      </c>
      <c r="N12" s="62"/>
      <c r="O12" s="73">
        <f>SUM(J12:M12)</f>
        <v>-3.0649999999999999</v>
      </c>
      <c r="Q12" s="73">
        <v>-2.4169999999999998</v>
      </c>
    </row>
    <row r="13" spans="1:17" s="40" customFormat="1" ht="16.75">
      <c r="A13" s="40" t="s">
        <v>38</v>
      </c>
      <c r="B13" s="65"/>
      <c r="C13" s="73">
        <v>0</v>
      </c>
      <c r="D13" s="73">
        <v>-1.6479999999999999</v>
      </c>
      <c r="E13" s="73">
        <v>0</v>
      </c>
      <c r="F13" s="73">
        <v>-2.8000000000000001E-2</v>
      </c>
      <c r="G13" s="65"/>
      <c r="H13" s="73">
        <f>SUM(C13:F13)</f>
        <v>-1.6759999999999999</v>
      </c>
      <c r="I13" s="65"/>
      <c r="J13" s="73">
        <v>0</v>
      </c>
      <c r="K13" s="73">
        <v>0</v>
      </c>
      <c r="L13" s="73">
        <v>0</v>
      </c>
      <c r="M13" s="73">
        <v>0</v>
      </c>
      <c r="N13" s="65"/>
      <c r="O13" s="73">
        <f>SUM(J13:M13)</f>
        <v>0</v>
      </c>
      <c r="Q13" s="73">
        <v>0</v>
      </c>
    </row>
    <row r="14" spans="1:17" s="40" customFormat="1" ht="16.75">
      <c r="A14" s="68" t="s">
        <v>99</v>
      </c>
      <c r="C14" s="70">
        <v>-5.0000000000000001E-3</v>
      </c>
      <c r="D14" s="70">
        <v>5.0000000000000001E-3</v>
      </c>
      <c r="E14" s="70">
        <v>0</v>
      </c>
      <c r="F14" s="70">
        <v>0</v>
      </c>
      <c r="H14" s="70">
        <f>SUM(C14:F14)</f>
        <v>0</v>
      </c>
      <c r="J14" s="70">
        <v>0</v>
      </c>
      <c r="K14" s="70">
        <v>0</v>
      </c>
      <c r="L14" s="70">
        <v>0</v>
      </c>
      <c r="M14" s="70">
        <v>0</v>
      </c>
      <c r="O14" s="70">
        <f>SUM(J14:M14)</f>
        <v>0</v>
      </c>
      <c r="Q14" s="70">
        <v>0</v>
      </c>
    </row>
    <row r="15" spans="1:17" s="40" customFormat="1" ht="16.75">
      <c r="A15" s="45" t="s">
        <v>59</v>
      </c>
      <c r="B15" s="47"/>
      <c r="C15" s="78">
        <f>SUM(C10:C14)+C7</f>
        <v>29.256</v>
      </c>
      <c r="D15" s="78">
        <f>SUM(D10:D14)+D7</f>
        <v>28.751000000000001</v>
      </c>
      <c r="E15" s="78">
        <f>SUM(E10:E14)+E7</f>
        <v>29.038000000000004</v>
      </c>
      <c r="F15" s="78">
        <f>SUM(F10:F14)+F7</f>
        <v>32.731000000000002</v>
      </c>
      <c r="G15" s="47"/>
      <c r="H15" s="78">
        <f>SUM(H10:H14)+H7</f>
        <v>119.77600000000001</v>
      </c>
      <c r="I15" s="47"/>
      <c r="J15" s="78">
        <f>SUM(J10:J14)+J7</f>
        <v>31.722999999999999</v>
      </c>
      <c r="K15" s="78">
        <f>SUM(K10:K14)+K7</f>
        <v>30.706999999999997</v>
      </c>
      <c r="L15" s="78">
        <f>SUM(L10:L14)+L7</f>
        <v>34.095999999999997</v>
      </c>
      <c r="M15" s="78">
        <f>SUM(M10:M14)+M7</f>
        <v>32.137</v>
      </c>
      <c r="N15" s="47"/>
      <c r="O15" s="78">
        <f>SUM(O10:O14)+O7</f>
        <v>128.66299999999998</v>
      </c>
      <c r="Q15" s="78">
        <f>SUM(Q10:Q14)+Q7</f>
        <v>36.35</v>
      </c>
    </row>
    <row r="16" spans="1:17" s="40" customFormat="1" ht="16.75">
      <c r="A16" s="72" t="s">
        <v>60</v>
      </c>
      <c r="C16" s="75">
        <v>0.13500000000000001</v>
      </c>
      <c r="D16" s="75">
        <v>0.13700000000000001</v>
      </c>
      <c r="E16" s="75">
        <v>0.13300000000000001</v>
      </c>
      <c r="F16" s="75">
        <v>0.123</v>
      </c>
      <c r="H16" s="75">
        <v>0.13100000000000001</v>
      </c>
      <c r="J16" s="75">
        <v>0.14299999999999999</v>
      </c>
      <c r="K16" s="75">
        <v>0.14599999999999999</v>
      </c>
      <c r="L16" s="75">
        <v>0.152</v>
      </c>
      <c r="M16" s="75">
        <v>0.127</v>
      </c>
      <c r="O16" s="75">
        <v>0.14199999999999999</v>
      </c>
      <c r="Q16" s="75">
        <v>0.17499999999999999</v>
      </c>
    </row>
    <row r="17" spans="1:19" s="40" customFormat="1" ht="16.75">
      <c r="A17" s="45"/>
      <c r="B17" s="61"/>
      <c r="C17" s="42"/>
      <c r="D17" s="42"/>
      <c r="E17" s="42"/>
      <c r="F17" s="42"/>
      <c r="G17" s="61"/>
      <c r="H17" s="79"/>
      <c r="I17" s="61"/>
      <c r="J17" s="42"/>
      <c r="K17" s="42"/>
      <c r="L17" s="42"/>
      <c r="M17" s="42"/>
      <c r="N17" s="61"/>
      <c r="O17" s="79"/>
      <c r="Q17" s="42"/>
    </row>
    <row r="18" spans="1:19" s="40" customFormat="1" ht="16.75">
      <c r="B18" s="61"/>
      <c r="G18" s="61"/>
      <c r="I18" s="61"/>
      <c r="N18" s="61"/>
    </row>
    <row r="19" spans="1:19" s="40" customFormat="1" ht="16.75">
      <c r="A19" s="55" t="s">
        <v>61</v>
      </c>
      <c r="B19" s="61"/>
      <c r="G19" s="61"/>
      <c r="I19" s="61"/>
      <c r="N19" s="61"/>
    </row>
    <row r="20" spans="1:19" s="40" customFormat="1" ht="16.75">
      <c r="A20" s="45" t="s">
        <v>62</v>
      </c>
      <c r="B20" s="61"/>
      <c r="C20" s="42">
        <v>101.279</v>
      </c>
      <c r="D20" s="42">
        <v>108.374</v>
      </c>
      <c r="E20" s="42">
        <v>87.879000000000005</v>
      </c>
      <c r="F20" s="42">
        <v>108.383</v>
      </c>
      <c r="G20" s="61"/>
      <c r="H20" s="42">
        <f>SUM(C20:F20)</f>
        <v>405.91499999999996</v>
      </c>
      <c r="I20" s="61"/>
      <c r="J20" s="42">
        <v>93.275999999999996</v>
      </c>
      <c r="K20" s="42">
        <v>93.177999999999997</v>
      </c>
      <c r="L20" s="42">
        <v>95.986999999999995</v>
      </c>
      <c r="M20" s="42">
        <v>97.143000000000001</v>
      </c>
      <c r="N20" s="61"/>
      <c r="O20" s="42">
        <f>SUM(J20:M20)</f>
        <v>379.58400000000006</v>
      </c>
      <c r="Q20" s="42">
        <v>89.67</v>
      </c>
    </row>
    <row r="21" spans="1:19" s="40" customFormat="1" ht="16.75">
      <c r="A21" s="72" t="s">
        <v>58</v>
      </c>
      <c r="B21" s="61"/>
      <c r="C21" s="75">
        <v>0.46800000000000003</v>
      </c>
      <c r="D21" s="75">
        <v>0.51600000000000001</v>
      </c>
      <c r="E21" s="75">
        <v>0.40200000000000002</v>
      </c>
      <c r="F21" s="75">
        <v>0.40899999999999997</v>
      </c>
      <c r="G21" s="61"/>
      <c r="H21" s="75">
        <v>0.44600000000000001</v>
      </c>
      <c r="I21" s="61"/>
      <c r="J21" s="75">
        <v>0.42199999999999999</v>
      </c>
      <c r="K21" s="75">
        <v>0.443</v>
      </c>
      <c r="L21" s="75">
        <v>0.42799999999999999</v>
      </c>
      <c r="M21" s="75">
        <v>0.38300000000000001</v>
      </c>
      <c r="N21" s="61"/>
      <c r="O21" s="75">
        <v>0.41699999999999998</v>
      </c>
      <c r="Q21" s="75">
        <v>0.43099999999999999</v>
      </c>
    </row>
    <row r="22" spans="1:19" s="40" customFormat="1" ht="16.75">
      <c r="B22" s="47"/>
      <c r="C22" s="80"/>
      <c r="D22" s="80"/>
      <c r="E22" s="80"/>
      <c r="F22" s="80"/>
      <c r="G22" s="47"/>
      <c r="H22" s="80"/>
      <c r="I22" s="47"/>
      <c r="J22" s="80"/>
      <c r="K22" s="80"/>
      <c r="L22" s="80"/>
      <c r="M22" s="80"/>
      <c r="N22" s="47"/>
      <c r="O22" s="80"/>
      <c r="Q22" s="80"/>
    </row>
    <row r="23" spans="1:19" s="40" customFormat="1" ht="16.75">
      <c r="A23" s="68" t="s">
        <v>28</v>
      </c>
      <c r="C23" s="76">
        <v>-12.215999999999999</v>
      </c>
      <c r="D23" s="76">
        <v>-14.279</v>
      </c>
      <c r="E23" s="76">
        <v>-12.068</v>
      </c>
      <c r="F23" s="76">
        <v>-12.987</v>
      </c>
      <c r="H23" s="76">
        <f t="shared" ref="H23:H29" si="0">SUM(C23:F23)</f>
        <v>-51.55</v>
      </c>
      <c r="J23" s="76">
        <v>-13.396000000000001</v>
      </c>
      <c r="K23" s="76">
        <v>-17.108000000000001</v>
      </c>
      <c r="L23" s="76">
        <v>-14.084</v>
      </c>
      <c r="M23" s="76">
        <v>-12.541</v>
      </c>
      <c r="O23" s="76">
        <f t="shared" ref="O23:O29" si="1">SUM(J23:M23)</f>
        <v>-57.129000000000005</v>
      </c>
      <c r="Q23" s="76">
        <v>-12.053000000000001</v>
      </c>
    </row>
    <row r="24" spans="1:19" s="40" customFormat="1" ht="16.75">
      <c r="A24" s="77" t="s">
        <v>66</v>
      </c>
      <c r="B24" s="34"/>
      <c r="C24" s="76">
        <v>-7.7030000000000003</v>
      </c>
      <c r="D24" s="76">
        <v>1.825</v>
      </c>
      <c r="E24" s="76">
        <v>0.20699999999999999</v>
      </c>
      <c r="F24" s="76">
        <v>-10.071999999999999</v>
      </c>
      <c r="G24" s="34"/>
      <c r="H24" s="76">
        <f t="shared" si="0"/>
        <v>-15.742999999999999</v>
      </c>
      <c r="I24" s="34"/>
      <c r="J24" s="76">
        <v>-0.20499999999999999</v>
      </c>
      <c r="K24" s="76">
        <v>-0.84499999999999997</v>
      </c>
      <c r="L24" s="76">
        <v>-1.0469999999999999</v>
      </c>
      <c r="M24" s="76">
        <v>-5.798</v>
      </c>
      <c r="N24" s="34"/>
      <c r="O24" s="76">
        <f t="shared" si="1"/>
        <v>-7.8949999999999996</v>
      </c>
      <c r="Q24" s="76">
        <v>8.0399999999999991</v>
      </c>
    </row>
    <row r="25" spans="1:19" s="40" customFormat="1" ht="16.75">
      <c r="A25" s="68" t="s">
        <v>30</v>
      </c>
      <c r="B25" s="34"/>
      <c r="C25" s="76">
        <v>-1.004</v>
      </c>
      <c r="D25" s="76">
        <v>-1.85</v>
      </c>
      <c r="E25" s="76">
        <v>-0.48299999999999998</v>
      </c>
      <c r="F25" s="76">
        <v>-1.2430000000000001</v>
      </c>
      <c r="G25" s="34"/>
      <c r="H25" s="76">
        <f t="shared" si="0"/>
        <v>-4.58</v>
      </c>
      <c r="I25" s="34"/>
      <c r="J25" s="76">
        <v>-1.133</v>
      </c>
      <c r="K25" s="76">
        <v>-0.42799999999999999</v>
      </c>
      <c r="L25" s="76">
        <v>-0.44900000000000001</v>
      </c>
      <c r="M25" s="76">
        <v>-1.278</v>
      </c>
      <c r="N25" s="34"/>
      <c r="O25" s="76">
        <f t="shared" si="1"/>
        <v>-3.2879999999999998</v>
      </c>
      <c r="Q25" s="76">
        <v>-1.909</v>
      </c>
    </row>
    <row r="26" spans="1:19" s="40" customFormat="1" ht="16.75">
      <c r="A26" s="68" t="s">
        <v>65</v>
      </c>
      <c r="B26" s="34"/>
      <c r="C26" s="76">
        <v>-0.14099999999999999</v>
      </c>
      <c r="D26" s="76">
        <v>-0.224</v>
      </c>
      <c r="E26" s="76">
        <v>-0.24</v>
      </c>
      <c r="F26" s="76">
        <v>-0.16900000000000001</v>
      </c>
      <c r="G26" s="34"/>
      <c r="H26" s="76">
        <f t="shared" si="0"/>
        <v>-0.77400000000000002</v>
      </c>
      <c r="I26" s="34"/>
      <c r="J26" s="76">
        <v>0</v>
      </c>
      <c r="K26" s="76">
        <v>0</v>
      </c>
      <c r="L26" s="76">
        <v>0</v>
      </c>
      <c r="M26" s="76">
        <v>0</v>
      </c>
      <c r="N26" s="34"/>
      <c r="O26" s="76">
        <f t="shared" si="1"/>
        <v>0</v>
      </c>
      <c r="Q26" s="76">
        <v>0</v>
      </c>
    </row>
    <row r="27" spans="1:19" s="40" customFormat="1" ht="16.75">
      <c r="A27" s="40" t="s">
        <v>37</v>
      </c>
      <c r="B27" s="69"/>
      <c r="C27" s="76">
        <v>-0.28799999999999998</v>
      </c>
      <c r="D27" s="76">
        <v>-4.8760000000000003</v>
      </c>
      <c r="E27" s="76">
        <v>-9.8000000000000004E-2</v>
      </c>
      <c r="F27" s="76">
        <v>-0.14499999999999999</v>
      </c>
      <c r="G27" s="69"/>
      <c r="H27" s="76">
        <f t="shared" si="0"/>
        <v>-5.407</v>
      </c>
      <c r="I27" s="69"/>
      <c r="J27" s="76">
        <v>0</v>
      </c>
      <c r="K27" s="76">
        <v>0</v>
      </c>
      <c r="L27" s="76">
        <v>0</v>
      </c>
      <c r="M27" s="76">
        <v>0</v>
      </c>
      <c r="N27" s="69"/>
      <c r="O27" s="76">
        <f t="shared" si="1"/>
        <v>0</v>
      </c>
      <c r="Q27" s="76">
        <v>0</v>
      </c>
    </row>
    <row r="28" spans="1:19" s="40" customFormat="1" ht="16.75">
      <c r="A28" s="40" t="s">
        <v>38</v>
      </c>
      <c r="B28" s="71"/>
      <c r="C28" s="76">
        <v>-2.7789999999999999</v>
      </c>
      <c r="D28" s="76">
        <v>-12.1</v>
      </c>
      <c r="E28" s="76">
        <v>-1.9370000000000001</v>
      </c>
      <c r="F28" s="76">
        <v>-1.377</v>
      </c>
      <c r="G28" s="71"/>
      <c r="H28" s="76">
        <f t="shared" si="0"/>
        <v>-18.192999999999998</v>
      </c>
      <c r="I28" s="71"/>
      <c r="J28" s="76">
        <v>0</v>
      </c>
      <c r="K28" s="76">
        <v>0</v>
      </c>
      <c r="L28" s="76">
        <v>0</v>
      </c>
      <c r="M28" s="76">
        <v>0</v>
      </c>
      <c r="N28" s="71"/>
      <c r="O28" s="76">
        <f t="shared" si="1"/>
        <v>0</v>
      </c>
      <c r="Q28" s="76">
        <v>0</v>
      </c>
    </row>
    <row r="29" spans="1:19" s="40" customFormat="1" ht="16.75">
      <c r="A29" s="68" t="s">
        <v>99</v>
      </c>
      <c r="B29" s="71"/>
      <c r="C29" s="70">
        <v>-2.9000000000000001E-2</v>
      </c>
      <c r="D29" s="70">
        <v>-0.182</v>
      </c>
      <c r="E29" s="70">
        <v>-1E-3</v>
      </c>
      <c r="F29" s="70">
        <v>-8.9999999999999993E-3</v>
      </c>
      <c r="H29" s="70">
        <f t="shared" si="0"/>
        <v>-0.221</v>
      </c>
      <c r="J29" s="70">
        <v>-0.109</v>
      </c>
      <c r="K29" s="70">
        <v>-9.9000000000000005E-2</v>
      </c>
      <c r="L29" s="70">
        <v>-0.108</v>
      </c>
      <c r="M29" s="70">
        <v>-0.106</v>
      </c>
      <c r="O29" s="70">
        <f t="shared" si="1"/>
        <v>-0.42199999999999999</v>
      </c>
      <c r="Q29" s="70">
        <v>-9.7000000000000003E-2</v>
      </c>
    </row>
    <row r="30" spans="1:19" s="40" customFormat="1" ht="33.5">
      <c r="A30" s="45" t="s">
        <v>63</v>
      </c>
      <c r="B30" s="34"/>
      <c r="C30" s="78">
        <f>SUM(C23:C29)+C20</f>
        <v>77.119</v>
      </c>
      <c r="D30" s="78">
        <f>SUM(D23:D29)+D20</f>
        <v>76.688000000000002</v>
      </c>
      <c r="E30" s="78">
        <f>SUM(E23:E29)+E20</f>
        <v>73.259</v>
      </c>
      <c r="F30" s="78">
        <f>SUM(F23:F29)+F20</f>
        <v>82.381</v>
      </c>
      <c r="G30" s="34"/>
      <c r="H30" s="78">
        <f>SUM(H23:H29)+H20</f>
        <v>309.447</v>
      </c>
      <c r="I30" s="34"/>
      <c r="J30" s="78">
        <f>SUM(J23:J29)+J20</f>
        <v>78.432999999999993</v>
      </c>
      <c r="K30" s="78">
        <f>SUM(K23:K29)+K20</f>
        <v>74.697999999999993</v>
      </c>
      <c r="L30" s="78">
        <f>SUM(L23:L29)+L20</f>
        <v>80.298999999999992</v>
      </c>
      <c r="M30" s="78">
        <f>SUM(M23:M29)+M20</f>
        <v>77.42</v>
      </c>
      <c r="N30" s="34"/>
      <c r="O30" s="78">
        <f>SUM(O23:O29)+O20</f>
        <v>310.85000000000008</v>
      </c>
      <c r="Q30" s="78">
        <f>SUM(Q23:Q29)+Q20</f>
        <v>83.650999999999996</v>
      </c>
    </row>
    <row r="31" spans="1:19" s="40" customFormat="1" ht="16.75">
      <c r="A31" s="72" t="s">
        <v>60</v>
      </c>
      <c r="B31" s="34"/>
      <c r="C31" s="75">
        <v>0.35499999999999998</v>
      </c>
      <c r="D31" s="75">
        <v>0.36399999999999999</v>
      </c>
      <c r="E31" s="75">
        <v>0.33500000000000002</v>
      </c>
      <c r="F31" s="75">
        <v>0.311</v>
      </c>
      <c r="G31" s="34"/>
      <c r="H31" s="75">
        <v>0.33900000000000002</v>
      </c>
      <c r="I31" s="34"/>
      <c r="J31" s="75">
        <v>0.35399999999999998</v>
      </c>
      <c r="K31" s="75">
        <v>0.35499999999999998</v>
      </c>
      <c r="L31" s="75">
        <v>0.35799999999999998</v>
      </c>
      <c r="M31" s="75">
        <v>0.30499999999999999</v>
      </c>
      <c r="N31" s="34"/>
      <c r="O31" s="75">
        <v>0.34200000000000003</v>
      </c>
      <c r="Q31" s="75">
        <v>0.40200000000000002</v>
      </c>
      <c r="S31" s="96"/>
    </row>
    <row r="32" spans="1:19" s="40" customFormat="1" ht="16.75">
      <c r="A32" s="45"/>
      <c r="B32" s="71"/>
      <c r="G32" s="71"/>
      <c r="I32" s="71"/>
      <c r="K32" s="96"/>
      <c r="N32" s="71"/>
    </row>
    <row r="33" spans="1:15" s="34" customFormat="1">
      <c r="B33" s="71"/>
      <c r="G33" s="71"/>
      <c r="I33" s="71"/>
      <c r="N33" s="71"/>
    </row>
    <row r="34" spans="1:15" s="34" customFormat="1">
      <c r="B34" s="71"/>
      <c r="G34" s="71"/>
      <c r="I34" s="71"/>
      <c r="N34" s="71"/>
    </row>
    <row r="35" spans="1:15" s="34" customFormat="1">
      <c r="B35" s="71"/>
      <c r="G35" s="71"/>
      <c r="I35" s="71"/>
      <c r="N35" s="71"/>
    </row>
    <row r="36" spans="1:15" s="34" customFormat="1" ht="33.5">
      <c r="A36" s="10" t="s">
        <v>67</v>
      </c>
      <c r="B36" s="69"/>
      <c r="G36" s="69"/>
      <c r="I36" s="69"/>
      <c r="N36" s="69"/>
    </row>
    <row r="37" spans="1:15" s="34" customFormat="1">
      <c r="O37" s="95"/>
    </row>
    <row r="38" spans="1:15" s="34" customFormat="1" ht="184.25">
      <c r="A38" s="10" t="s">
        <v>68</v>
      </c>
    </row>
    <row r="39" spans="1:15" s="34" customFormat="1"/>
    <row r="40" spans="1:15" s="34" customFormat="1"/>
    <row r="41" spans="1:15" s="34" customFormat="1" ht="16.75">
      <c r="B41" s="69"/>
      <c r="C41" s="83"/>
      <c r="G41" s="69"/>
      <c r="I41" s="69"/>
      <c r="N41" s="69"/>
    </row>
    <row r="42" spans="1:15" s="34" customFormat="1" ht="16.75">
      <c r="B42" s="71"/>
      <c r="C42" s="82"/>
      <c r="G42" s="71"/>
      <c r="I42" s="71"/>
      <c r="N42" s="71"/>
    </row>
    <row r="43" spans="1:15" s="34" customFormat="1">
      <c r="B43" s="71"/>
      <c r="G43" s="71"/>
      <c r="I43" s="71"/>
      <c r="N43" s="71"/>
    </row>
    <row r="44" spans="1:15" s="34" customFormat="1"/>
    <row r="45" spans="1:15" s="34" customFormat="1"/>
    <row r="46" spans="1:15" s="34" customFormat="1">
      <c r="B46" s="71"/>
      <c r="G46" s="71"/>
      <c r="I46" s="71"/>
      <c r="N46" s="71"/>
    </row>
    <row r="47" spans="1:15" s="34" customFormat="1">
      <c r="B47" s="71"/>
      <c r="G47" s="71"/>
      <c r="I47" s="71"/>
      <c r="N47" s="71"/>
    </row>
    <row r="48" spans="1:15" s="34" customFormat="1">
      <c r="B48" s="69"/>
      <c r="G48" s="69"/>
      <c r="I48" s="69"/>
      <c r="N48" s="69"/>
    </row>
    <row r="49" spans="2:14" s="34" customFormat="1"/>
    <row r="50" spans="2:14" s="34" customFormat="1"/>
    <row r="51" spans="2:14" s="34" customFormat="1"/>
    <row r="52" spans="2:14" s="34" customFormat="1"/>
    <row r="53" spans="2:14" s="34" customFormat="1">
      <c r="B53" s="69"/>
      <c r="G53" s="69"/>
      <c r="I53" s="69"/>
      <c r="N53" s="69"/>
    </row>
    <row r="54" spans="2:14" s="34" customFormat="1">
      <c r="B54" s="71"/>
      <c r="G54" s="71"/>
      <c r="I54" s="71"/>
      <c r="N54" s="71"/>
    </row>
    <row r="55" spans="2:14" s="34" customFormat="1">
      <c r="B55" s="71"/>
      <c r="G55" s="71"/>
      <c r="I55" s="71"/>
      <c r="N55" s="71"/>
    </row>
    <row r="56" spans="2:14" s="34" customFormat="1"/>
    <row r="57" spans="2:14" s="34" customFormat="1"/>
    <row r="58" spans="2:14" s="34" customFormat="1">
      <c r="B58" s="71"/>
      <c r="G58" s="71"/>
      <c r="I58" s="71"/>
      <c r="N58" s="71"/>
    </row>
    <row r="59" spans="2:14" s="34" customFormat="1">
      <c r="B59" s="71"/>
      <c r="G59" s="71"/>
      <c r="I59" s="71"/>
      <c r="N59" s="71"/>
    </row>
    <row r="60" spans="2:14" s="34" customFormat="1">
      <c r="B60" s="71"/>
      <c r="G60" s="71"/>
      <c r="I60" s="71"/>
      <c r="N60" s="71"/>
    </row>
    <row r="61" spans="2:14" s="34" customFormat="1">
      <c r="B61" s="69"/>
      <c r="G61" s="69"/>
      <c r="I61" s="69"/>
      <c r="N61" s="69"/>
    </row>
    <row r="62" spans="2:14" s="34" customFormat="1"/>
    <row r="63" spans="2:14" s="34" customFormat="1"/>
    <row r="64" spans="2:1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row r="158" s="34" customFormat="1"/>
    <row r="159" s="34" customFormat="1"/>
    <row r="160" s="34" customFormat="1"/>
    <row r="161" s="34" customFormat="1"/>
    <row r="162" s="34" customFormat="1"/>
    <row r="163" s="34" customFormat="1"/>
    <row r="164" s="34" customFormat="1"/>
    <row r="165" s="34" customFormat="1"/>
    <row r="166" s="34" customFormat="1"/>
    <row r="167" s="34" customFormat="1"/>
    <row r="168" s="34" customFormat="1"/>
    <row r="169" s="34" customFormat="1"/>
    <row r="170" s="34" customFormat="1"/>
    <row r="171" s="34" customFormat="1"/>
    <row r="172" s="34" customFormat="1"/>
    <row r="173" s="34" customFormat="1"/>
    <row r="174" s="34" customFormat="1"/>
    <row r="175" s="34" customFormat="1"/>
    <row r="176" s="34" customFormat="1"/>
    <row r="177" s="34" customFormat="1"/>
    <row r="178" s="34" customFormat="1"/>
    <row r="179" s="34" customFormat="1"/>
    <row r="180" s="34" customFormat="1"/>
    <row r="181" s="34" customFormat="1"/>
    <row r="182" s="34" customFormat="1"/>
    <row r="183" s="34" customFormat="1"/>
    <row r="184" s="34" customFormat="1"/>
    <row r="185" s="34" customFormat="1"/>
    <row r="186" s="34" customFormat="1"/>
    <row r="187" s="34" customFormat="1"/>
    <row r="188" s="34" customFormat="1"/>
    <row r="189" s="34" customFormat="1"/>
    <row r="190" s="34" customFormat="1"/>
    <row r="191" s="34" customFormat="1"/>
    <row r="192" s="34" customFormat="1"/>
    <row r="193" s="34" customFormat="1"/>
    <row r="194" s="34" customFormat="1"/>
  </sheetData>
  <mergeCells count="2">
    <mergeCell ref="C3:F3"/>
    <mergeCell ref="J3:M3"/>
  </mergeCells>
  <pageMargins left="0.25" right="0.25"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257B-1860-495B-AB9F-D2DE87AE7FA9}">
  <sheetPr>
    <tabColor theme="0" tint="-0.249977111117893"/>
  </sheetPr>
  <dimension ref="B1:N76"/>
  <sheetViews>
    <sheetView topLeftCell="A23" zoomScale="70" zoomScaleNormal="70" workbookViewId="0">
      <selection activeCell="B33" sqref="B33"/>
    </sheetView>
  </sheetViews>
  <sheetFormatPr defaultColWidth="9.1328125" defaultRowHeight="16.75"/>
  <cols>
    <col min="1" max="1" width="9.1328125" style="40"/>
    <col min="2" max="2" width="199.1328125" style="89" customWidth="1"/>
    <col min="3" max="3" width="10.81640625" style="40" customWidth="1"/>
    <col min="4" max="6" width="9.1328125" style="40"/>
    <col min="7" max="7" width="73.81640625" style="40" bestFit="1" customWidth="1"/>
    <col min="8" max="8" width="1.81640625" style="34" customWidth="1"/>
    <col min="9" max="12" width="15.58984375" style="40" customWidth="1"/>
    <col min="13" max="13" width="1.81640625" style="34" customWidth="1"/>
    <col min="14" max="14" width="15.58984375" style="40" customWidth="1"/>
    <col min="15" max="16384" width="9.1328125" style="40"/>
  </cols>
  <sheetData>
    <row r="1" spans="2:6" ht="18">
      <c r="B1" s="87" t="s">
        <v>71</v>
      </c>
      <c r="C1" s="88"/>
      <c r="D1" s="88"/>
      <c r="E1" s="88"/>
      <c r="F1" s="88"/>
    </row>
    <row r="3" spans="2:6">
      <c r="B3" s="90" t="s">
        <v>72</v>
      </c>
    </row>
    <row r="5" spans="2:6" ht="83.75">
      <c r="B5" s="91" t="s">
        <v>73</v>
      </c>
    </row>
    <row r="6" spans="2:6" ht="33.5">
      <c r="B6" s="91" t="s">
        <v>74</v>
      </c>
    </row>
    <row r="7" spans="2:6" ht="33.5">
      <c r="B7" s="91" t="s">
        <v>75</v>
      </c>
    </row>
    <row r="8" spans="2:6">
      <c r="B8" s="91" t="s">
        <v>76</v>
      </c>
    </row>
    <row r="9" spans="2:6" ht="33.5">
      <c r="B9" s="91" t="s">
        <v>77</v>
      </c>
    </row>
    <row r="10" spans="2:6">
      <c r="B10" s="91" t="s">
        <v>78</v>
      </c>
    </row>
    <row r="11" spans="2:6">
      <c r="B11" s="91"/>
    </row>
    <row r="12" spans="2:6" ht="102" customHeight="1">
      <c r="B12" s="91" t="s">
        <v>79</v>
      </c>
    </row>
    <row r="13" spans="2:6">
      <c r="B13" s="92"/>
    </row>
    <row r="14" spans="2:6">
      <c r="B14" s="91" t="s">
        <v>80</v>
      </c>
    </row>
    <row r="15" spans="2:6" ht="117.25">
      <c r="B15" s="91" t="s">
        <v>81</v>
      </c>
    </row>
    <row r="16" spans="2:6" ht="67">
      <c r="B16" s="91" t="s">
        <v>82</v>
      </c>
    </row>
    <row r="17" spans="2:2" ht="117.25">
      <c r="B17" s="91" t="s">
        <v>83</v>
      </c>
    </row>
    <row r="18" spans="2:2" ht="117.25">
      <c r="B18" s="91" t="s">
        <v>84</v>
      </c>
    </row>
    <row r="19" spans="2:2" ht="83.75">
      <c r="B19" s="91" t="s">
        <v>85</v>
      </c>
    </row>
    <row r="20" spans="2:2" ht="167.5">
      <c r="B20" s="100" t="s">
        <v>86</v>
      </c>
    </row>
    <row r="21" spans="2:2" ht="50.25">
      <c r="B21" s="91" t="s">
        <v>87</v>
      </c>
    </row>
    <row r="22" spans="2:2" ht="67">
      <c r="B22" s="91" t="s">
        <v>88</v>
      </c>
    </row>
    <row r="23" spans="2:2" ht="184.25">
      <c r="B23" s="91" t="s">
        <v>89</v>
      </c>
    </row>
    <row r="25" spans="2:2">
      <c r="B25" s="93" t="s">
        <v>90</v>
      </c>
    </row>
    <row r="26" spans="2:2">
      <c r="B26" s="91"/>
    </row>
    <row r="27" spans="2:2" ht="33.5">
      <c r="B27" s="91" t="s">
        <v>91</v>
      </c>
    </row>
    <row r="28" spans="2:2">
      <c r="B28" s="91"/>
    </row>
    <row r="29" spans="2:2">
      <c r="B29" s="90" t="s">
        <v>92</v>
      </c>
    </row>
    <row r="31" spans="2:2" ht="201">
      <c r="B31" s="94" t="s">
        <v>105</v>
      </c>
    </row>
    <row r="32" spans="2:2" ht="36" customHeight="1">
      <c r="B32" s="89" t="s">
        <v>106</v>
      </c>
    </row>
    <row r="33" spans="2:14" ht="15" customHeight="1"/>
    <row r="34" spans="2:14" s="83" customFormat="1" ht="37" customHeight="1">
      <c r="B34" s="91" t="s">
        <v>104</v>
      </c>
    </row>
    <row r="35" spans="2:14" ht="18.649999999999999" customHeight="1">
      <c r="B35" s="91"/>
    </row>
    <row r="36" spans="2:14" ht="33.5">
      <c r="B36" s="91" t="s">
        <v>93</v>
      </c>
      <c r="H36" s="71"/>
      <c r="M36" s="71"/>
    </row>
    <row r="37" spans="2:14">
      <c r="B37" s="91"/>
      <c r="H37" s="69"/>
      <c r="M37" s="69"/>
    </row>
    <row r="38" spans="2:14" ht="33.5">
      <c r="B38" s="91" t="s">
        <v>101</v>
      </c>
    </row>
    <row r="39" spans="2:14">
      <c r="H39" s="69"/>
      <c r="M39" s="69"/>
    </row>
    <row r="40" spans="2:14" ht="17">
      <c r="B40" s="91"/>
      <c r="G40" s="36" t="s">
        <v>94</v>
      </c>
      <c r="I40" s="105" t="s">
        <v>1</v>
      </c>
      <c r="J40" s="105"/>
      <c r="K40" s="105"/>
      <c r="L40" s="105"/>
      <c r="N40" s="37" t="s">
        <v>2</v>
      </c>
    </row>
    <row r="41" spans="2:14" ht="29.25" customHeight="1">
      <c r="B41" s="91"/>
      <c r="G41" s="36" t="s">
        <v>4</v>
      </c>
      <c r="I41" s="38" t="s">
        <v>3</v>
      </c>
      <c r="J41" s="38" t="s">
        <v>14</v>
      </c>
      <c r="K41" s="38" t="s">
        <v>15</v>
      </c>
      <c r="L41" s="38" t="s">
        <v>16</v>
      </c>
      <c r="N41" s="38" t="s">
        <v>16</v>
      </c>
    </row>
    <row r="42" spans="2:14">
      <c r="G42" s="39" t="s">
        <v>17</v>
      </c>
      <c r="H42" s="2"/>
      <c r="M42" s="2"/>
    </row>
    <row r="43" spans="2:14">
      <c r="G43" s="41" t="s">
        <v>18</v>
      </c>
      <c r="H43" s="2"/>
      <c r="I43" s="42">
        <v>216.566</v>
      </c>
      <c r="J43" s="42">
        <v>210.16499999999999</v>
      </c>
      <c r="K43" s="42">
        <v>218.547</v>
      </c>
      <c r="L43" s="42">
        <v>265.10899999999998</v>
      </c>
      <c r="M43" s="2"/>
      <c r="N43" s="42">
        <v>910.38699999999994</v>
      </c>
    </row>
    <row r="44" spans="2:14">
      <c r="G44" s="43" t="s">
        <v>19</v>
      </c>
      <c r="H44" s="2"/>
      <c r="I44" s="44">
        <v>6.7590000000000003</v>
      </c>
      <c r="J44" s="44">
        <v>6.4290000000000003</v>
      </c>
      <c r="K44" s="44">
        <v>6.1139999999999999</v>
      </c>
      <c r="L44" s="44">
        <v>5.9459999999999997</v>
      </c>
      <c r="M44" s="2"/>
      <c r="N44" s="44">
        <v>25.247999999999998</v>
      </c>
    </row>
    <row r="45" spans="2:14">
      <c r="G45" s="41" t="s">
        <v>20</v>
      </c>
      <c r="I45" s="42">
        <v>209.80700000000002</v>
      </c>
      <c r="J45" s="42">
        <v>203.73599999999999</v>
      </c>
      <c r="K45" s="42">
        <v>212.43299999999999</v>
      </c>
      <c r="L45" s="42">
        <v>259.16299999999995</v>
      </c>
      <c r="N45" s="42">
        <v>885.1389999999999</v>
      </c>
    </row>
    <row r="46" spans="2:14">
      <c r="G46" s="45"/>
      <c r="H46" s="59"/>
      <c r="I46" s="46"/>
      <c r="J46" s="46"/>
      <c r="K46" s="46"/>
      <c r="L46" s="46"/>
      <c r="M46" s="59"/>
      <c r="N46" s="46"/>
    </row>
    <row r="47" spans="2:14">
      <c r="G47" s="41" t="s">
        <v>21</v>
      </c>
      <c r="H47" s="40"/>
      <c r="I47" s="42">
        <v>217.19300000000001</v>
      </c>
      <c r="J47" s="42">
        <v>210.40700000000001</v>
      </c>
      <c r="K47" s="42">
        <v>218.667</v>
      </c>
      <c r="L47" s="42">
        <v>265.22000000000003</v>
      </c>
      <c r="M47" s="40"/>
      <c r="N47" s="42">
        <v>911.48700000000008</v>
      </c>
    </row>
    <row r="48" spans="2:14">
      <c r="G48" s="43" t="s">
        <v>19</v>
      </c>
      <c r="H48" s="62"/>
      <c r="I48" s="44">
        <v>6.7590000000000003</v>
      </c>
      <c r="J48" s="44">
        <v>6.4290000000000003</v>
      </c>
      <c r="K48" s="44">
        <v>6.1139999999999999</v>
      </c>
      <c r="L48" s="44">
        <v>5.9459999999999997</v>
      </c>
      <c r="M48" s="62"/>
      <c r="N48" s="44">
        <v>25.247999999999998</v>
      </c>
    </row>
    <row r="49" spans="7:14">
      <c r="G49" s="41" t="s">
        <v>22</v>
      </c>
      <c r="H49" s="62"/>
      <c r="I49" s="42">
        <v>210.43400000000003</v>
      </c>
      <c r="J49" s="42">
        <v>203.97800000000001</v>
      </c>
      <c r="K49" s="42">
        <v>212.553</v>
      </c>
      <c r="L49" s="42">
        <v>259.274</v>
      </c>
      <c r="M49" s="62"/>
      <c r="N49" s="42">
        <v>886.23900000000003</v>
      </c>
    </row>
    <row r="50" spans="7:14">
      <c r="G50" s="41"/>
      <c r="H50" s="62"/>
      <c r="I50" s="42"/>
      <c r="J50" s="42"/>
      <c r="K50" s="42"/>
      <c r="L50" s="42"/>
      <c r="M50" s="62"/>
      <c r="N50" s="42"/>
    </row>
    <row r="51" spans="7:14">
      <c r="G51" s="41"/>
      <c r="H51" s="62"/>
      <c r="I51" s="42"/>
      <c r="J51" s="42"/>
      <c r="K51" s="42"/>
      <c r="L51" s="42"/>
      <c r="M51" s="62"/>
      <c r="N51" s="42"/>
    </row>
    <row r="52" spans="7:14">
      <c r="G52" s="39" t="s">
        <v>23</v>
      </c>
      <c r="H52" s="65"/>
      <c r="I52" s="47"/>
      <c r="J52" s="47"/>
      <c r="K52" s="47"/>
      <c r="L52" s="47"/>
      <c r="M52" s="65"/>
    </row>
    <row r="53" spans="7:14">
      <c r="G53" s="41" t="s">
        <v>24</v>
      </c>
      <c r="H53" s="40"/>
      <c r="I53" s="42">
        <v>68.403000000000006</v>
      </c>
      <c r="J53" s="42">
        <v>68.876000000000005</v>
      </c>
      <c r="K53" s="42">
        <v>65.537999999999997</v>
      </c>
      <c r="L53" s="42">
        <v>74.295000000000002</v>
      </c>
      <c r="M53" s="40"/>
      <c r="N53" s="42">
        <v>277.11200000000002</v>
      </c>
    </row>
    <row r="54" spans="7:14">
      <c r="G54" s="43" t="s">
        <v>25</v>
      </c>
      <c r="H54" s="47"/>
      <c r="I54" s="44">
        <v>5.6539999999999999</v>
      </c>
      <c r="J54" s="44">
        <v>5.657</v>
      </c>
      <c r="K54" s="44">
        <v>4.76</v>
      </c>
      <c r="L54" s="44">
        <v>8.4689999999999994</v>
      </c>
      <c r="M54" s="47"/>
      <c r="N54" s="44">
        <v>24.54</v>
      </c>
    </row>
    <row r="55" spans="7:14">
      <c r="G55" s="41" t="s">
        <v>26</v>
      </c>
      <c r="H55" s="40"/>
      <c r="I55" s="84">
        <v>62.749000000000009</v>
      </c>
      <c r="J55" s="84">
        <v>63.219000000000008</v>
      </c>
      <c r="K55" s="84">
        <v>60.777999999999999</v>
      </c>
      <c r="L55" s="84">
        <v>65.826000000000008</v>
      </c>
      <c r="M55" s="40"/>
      <c r="N55" s="84">
        <v>252.57200000000003</v>
      </c>
    </row>
    <row r="56" spans="7:14">
      <c r="G56" s="45"/>
      <c r="H56" s="61"/>
      <c r="I56" s="46"/>
      <c r="J56" s="46"/>
      <c r="K56" s="46"/>
      <c r="L56" s="46"/>
      <c r="M56" s="61"/>
      <c r="N56" s="46"/>
    </row>
    <row r="57" spans="7:14">
      <c r="G57" s="43" t="s">
        <v>27</v>
      </c>
      <c r="H57" s="84"/>
      <c r="I57" s="48">
        <v>1.9650000000000001</v>
      </c>
      <c r="J57" s="48">
        <v>1.9370000000000001</v>
      </c>
      <c r="K57" s="48">
        <v>1.609</v>
      </c>
      <c r="L57" s="48">
        <v>1.623</v>
      </c>
      <c r="M57" s="84"/>
      <c r="N57" s="48">
        <v>7.1340000000000003</v>
      </c>
    </row>
    <row r="58" spans="7:14">
      <c r="G58" s="43" t="s">
        <v>28</v>
      </c>
      <c r="H58" s="61"/>
      <c r="I58" s="48">
        <v>0.42499999999999999</v>
      </c>
      <c r="J58" s="48">
        <v>1.355</v>
      </c>
      <c r="K58" s="48">
        <v>1.0680000000000001</v>
      </c>
      <c r="L58" s="48">
        <v>1.232</v>
      </c>
      <c r="M58" s="61"/>
      <c r="N58" s="48">
        <v>4.08</v>
      </c>
    </row>
    <row r="59" spans="7:14">
      <c r="G59" s="43" t="s">
        <v>64</v>
      </c>
      <c r="H59" s="65"/>
      <c r="I59" s="48">
        <v>5.6000000000000001E-2</v>
      </c>
      <c r="J59" s="48">
        <v>0.02</v>
      </c>
      <c r="K59" s="48">
        <v>2.1000000000000001E-2</v>
      </c>
      <c r="L59" s="48">
        <v>1.9E-2</v>
      </c>
      <c r="M59" s="65"/>
      <c r="N59" s="48">
        <v>0.11600000000000001</v>
      </c>
    </row>
    <row r="60" spans="7:14">
      <c r="G60" s="43" t="s">
        <v>30</v>
      </c>
      <c r="H60" s="65"/>
      <c r="I60" s="44">
        <v>0.25600000000000001</v>
      </c>
      <c r="J60" s="44">
        <v>1.0009999999999999</v>
      </c>
      <c r="K60" s="44">
        <v>2.7E-2</v>
      </c>
      <c r="L60" s="44">
        <v>0.69699999999999995</v>
      </c>
      <c r="M60" s="65"/>
      <c r="N60" s="44">
        <v>1.9809999999999999</v>
      </c>
    </row>
    <row r="61" spans="7:14">
      <c r="G61" s="41" t="s">
        <v>31</v>
      </c>
      <c r="H61" s="65"/>
      <c r="I61" s="42">
        <v>60.047000000000011</v>
      </c>
      <c r="J61" s="42">
        <v>58.906000000000006</v>
      </c>
      <c r="K61" s="42">
        <v>58.052999999999997</v>
      </c>
      <c r="L61" s="42">
        <v>62.25500000000001</v>
      </c>
      <c r="M61" s="65"/>
      <c r="N61" s="42">
        <v>239.26100000000002</v>
      </c>
    </row>
    <row r="62" spans="7:14">
      <c r="G62" s="41"/>
      <c r="H62" s="65"/>
      <c r="I62" s="49"/>
      <c r="J62" s="49"/>
      <c r="K62" s="49"/>
      <c r="L62" s="49"/>
      <c r="M62" s="65"/>
      <c r="N62" s="49"/>
    </row>
    <row r="63" spans="7:14">
      <c r="G63" s="41"/>
      <c r="H63" s="69"/>
      <c r="I63" s="49"/>
      <c r="J63" s="49"/>
      <c r="K63" s="49"/>
      <c r="L63" s="49"/>
      <c r="M63" s="69"/>
      <c r="N63" s="49"/>
    </row>
    <row r="64" spans="7:14">
      <c r="G64" s="50" t="s">
        <v>32</v>
      </c>
      <c r="I64" s="34"/>
      <c r="J64" s="34"/>
      <c r="K64" s="34"/>
      <c r="L64" s="34"/>
      <c r="N64" s="34"/>
    </row>
    <row r="65" spans="7:14">
      <c r="G65" s="41" t="s">
        <v>33</v>
      </c>
      <c r="I65" s="42">
        <v>139.39099999999999</v>
      </c>
      <c r="J65" s="42">
        <v>148.80099999999999</v>
      </c>
      <c r="K65" s="42">
        <v>126.291</v>
      </c>
      <c r="L65" s="42">
        <v>150.607</v>
      </c>
      <c r="N65" s="42">
        <v>565.09</v>
      </c>
    </row>
    <row r="66" spans="7:14">
      <c r="G66" s="43" t="s">
        <v>34</v>
      </c>
      <c r="H66" s="69"/>
      <c r="I66" s="44">
        <v>1.45</v>
      </c>
      <c r="J66" s="44">
        <v>1.7030000000000001</v>
      </c>
      <c r="K66" s="44">
        <v>1.1890000000000001</v>
      </c>
      <c r="L66" s="44">
        <v>7.9180000000000001</v>
      </c>
      <c r="M66" s="69"/>
      <c r="N66" s="44">
        <v>12.260000000000002</v>
      </c>
    </row>
    <row r="67" spans="7:14">
      <c r="G67" s="41" t="s">
        <v>35</v>
      </c>
      <c r="H67" s="71"/>
      <c r="I67" s="84">
        <v>137.941</v>
      </c>
      <c r="J67" s="84">
        <v>147.09799999999998</v>
      </c>
      <c r="K67" s="84">
        <v>125.102</v>
      </c>
      <c r="L67" s="84">
        <v>142.68899999999999</v>
      </c>
      <c r="M67" s="71"/>
      <c r="N67" s="84">
        <v>552.83000000000004</v>
      </c>
    </row>
    <row r="68" spans="7:14">
      <c r="G68" s="45"/>
      <c r="H68" s="71"/>
      <c r="I68" s="46"/>
      <c r="J68" s="46"/>
      <c r="K68" s="46"/>
      <c r="L68" s="46"/>
      <c r="M68" s="71"/>
      <c r="N68" s="46"/>
    </row>
    <row r="69" spans="7:14">
      <c r="G69" s="43" t="s">
        <v>36</v>
      </c>
      <c r="H69" s="84"/>
      <c r="I69" s="48">
        <v>6.2080000000000002</v>
      </c>
      <c r="J69" s="48">
        <v>6.2469999999999999</v>
      </c>
      <c r="K69" s="48">
        <v>6.2060000000000004</v>
      </c>
      <c r="L69" s="48">
        <v>6.22</v>
      </c>
      <c r="M69" s="84"/>
      <c r="N69" s="48">
        <v>24.881</v>
      </c>
    </row>
    <row r="70" spans="7:14">
      <c r="G70" s="43" t="s">
        <v>28</v>
      </c>
      <c r="I70" s="48">
        <v>14.45</v>
      </c>
      <c r="J70" s="48">
        <v>17.690000000000001</v>
      </c>
      <c r="K70" s="48">
        <v>15.009</v>
      </c>
      <c r="L70" s="48">
        <v>16.169</v>
      </c>
      <c r="N70" s="48">
        <v>63.317999999999998</v>
      </c>
    </row>
    <row r="71" spans="7:14">
      <c r="G71" s="43" t="s">
        <v>29</v>
      </c>
      <c r="H71" s="71"/>
      <c r="I71" s="48">
        <v>7.7590000000000003</v>
      </c>
      <c r="J71" s="48">
        <v>-1.8049999999999999</v>
      </c>
      <c r="K71" s="48">
        <v>-0.187</v>
      </c>
      <c r="L71" s="48">
        <v>3.8540000000000001</v>
      </c>
      <c r="M71" s="71"/>
      <c r="N71" s="48">
        <v>9.6210000000000004</v>
      </c>
    </row>
    <row r="72" spans="7:14">
      <c r="G72" s="43" t="s">
        <v>30</v>
      </c>
      <c r="H72" s="71"/>
      <c r="I72" s="48">
        <v>1.1419999999999999</v>
      </c>
      <c r="J72" s="48">
        <v>2.0299999999999998</v>
      </c>
      <c r="K72" s="48">
        <v>0.48099999999999998</v>
      </c>
      <c r="L72" s="48">
        <v>0.74</v>
      </c>
      <c r="M72" s="71"/>
      <c r="N72" s="48">
        <v>4.3929999999999998</v>
      </c>
    </row>
    <row r="73" spans="7:14">
      <c r="G73" s="43" t="s">
        <v>37</v>
      </c>
      <c r="H73" s="71"/>
      <c r="I73" s="48">
        <v>0.28799999999999998</v>
      </c>
      <c r="J73" s="48">
        <v>4.6840000000000002</v>
      </c>
      <c r="K73" s="48">
        <v>0.08</v>
      </c>
      <c r="L73" s="48">
        <v>0.122</v>
      </c>
      <c r="M73" s="71"/>
      <c r="N73" s="48">
        <v>5.1740000000000004</v>
      </c>
    </row>
    <row r="74" spans="7:14">
      <c r="G74" s="43" t="s">
        <v>38</v>
      </c>
      <c r="H74" s="71"/>
      <c r="I74" s="48">
        <v>2.7789999999999999</v>
      </c>
      <c r="J74" s="48">
        <v>13.541</v>
      </c>
      <c r="K74" s="48">
        <v>1.9339999999999999</v>
      </c>
      <c r="L74" s="48">
        <v>1.389</v>
      </c>
      <c r="M74" s="71"/>
      <c r="N74" s="48">
        <v>19.643000000000001</v>
      </c>
    </row>
    <row r="75" spans="7:14">
      <c r="G75" s="43" t="s">
        <v>39</v>
      </c>
      <c r="H75" s="71"/>
      <c r="I75" s="44">
        <v>0.17499999999999999</v>
      </c>
      <c r="J75" s="44">
        <v>0.40100000000000002</v>
      </c>
      <c r="K75" s="44">
        <v>0.24099999999999999</v>
      </c>
      <c r="L75" s="44">
        <v>0.17799999999999999</v>
      </c>
      <c r="M75" s="71"/>
      <c r="N75" s="44">
        <v>0.99500000000000011</v>
      </c>
    </row>
    <row r="76" spans="7:14">
      <c r="G76" s="41" t="s">
        <v>40</v>
      </c>
      <c r="H76" s="71"/>
      <c r="I76" s="42">
        <v>105.14</v>
      </c>
      <c r="J76" s="42">
        <v>104.30999999999997</v>
      </c>
      <c r="K76" s="42">
        <v>101.33800000000001</v>
      </c>
      <c r="L76" s="42">
        <v>114.017</v>
      </c>
      <c r="M76" s="71"/>
      <c r="N76" s="42">
        <v>424.80500000000006</v>
      </c>
    </row>
  </sheetData>
  <mergeCells count="1">
    <mergeCell ref="I40:L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6" ma:contentTypeDescription="Create a new document." ma:contentTypeScope="" ma:versionID="1d3858ff54fd33814c738c16dc5b5601">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6d137ab891e7c49bc02387996bc91df2"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F8398F-1970-4531-807E-94DFF47DC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25FB0-8DCC-4958-AE4C-8B6BF3A10384}">
  <ds:schemaRefs>
    <ds:schemaRef ds:uri="http://www.w3.org/XML/1998/namespace"/>
    <ds:schemaRef ds:uri="d407aa25-4627-4000-a98e-64b34ff8b5da"/>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7b20869c-b514-4b89-9e09-969949176dab"/>
  </ds:schemaRefs>
</ds:datastoreItem>
</file>

<file path=customXml/itemProps3.xml><?xml version="1.0" encoding="utf-8"?>
<ds:datastoreItem xmlns:ds="http://schemas.openxmlformats.org/officeDocument/2006/customXml" ds:itemID="{1A16E19C-3B75-43AC-81A8-5BB6BF0FF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ARR</vt:lpstr>
      <vt:lpstr>Cash Generation &amp; Contribution</vt:lpstr>
      <vt:lpstr>Free Cash Flow </vt:lpstr>
      <vt:lpstr>Reconciliations ---&gt;</vt:lpstr>
      <vt:lpstr>Gross Profit</vt:lpstr>
      <vt:lpstr>Operating Expenses</vt:lpstr>
      <vt:lpstr>Supplemental Info</vt:lpstr>
      <vt:lpstr>ARR!Print_Area</vt:lpstr>
      <vt:lpstr>'Gross Profit'!Print_Area</vt:lpstr>
      <vt:lpstr>'Operating Expenses'!Print_Area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Becker, Keri</dc:creator>
  <cp:keywords/>
  <dc:description/>
  <cp:lastModifiedBy>Frankel, Matthew</cp:lastModifiedBy>
  <cp:revision/>
  <dcterms:created xsi:type="dcterms:W3CDTF">2021-05-20T20:02:08Z</dcterms:created>
  <dcterms:modified xsi:type="dcterms:W3CDTF">2025-06-04T18:42:09Z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